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MoskalenkoO\Documents\Mortgage loan\Mortgage loan_stand\Site\Калькулятор\"/>
    </mc:Choice>
  </mc:AlternateContent>
  <workbookProtection workbookAlgorithmName="SHA-512" workbookHashValue="nRDGX3wrg9oiuohRmXm2EYyXnXq88jTpEZ6jikPLRTJlzAX4JzaKCOZUuT4t62tv1lN6BELo1Mw3odMsiK457g==" workbookSaltValue="8O7sEijvfkLDO7V28BP/3w==" workbookSpinCount="100000" lockStructure="1"/>
  <bookViews>
    <workbookView xWindow="0" yWindow="0" windowWidth="28800" windowHeight="10935"/>
  </bookViews>
  <sheets>
    <sheet name="Калькулятор" sheetId="1" r:id="rId1"/>
  </sheets>
  <definedNames>
    <definedName name="Строк">#REF!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24" i="1" l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7" i="1"/>
  <c r="C12" i="1" l="1"/>
  <c r="C13" i="1" s="1"/>
  <c r="G16" i="1"/>
  <c r="C18" i="1"/>
  <c r="L4" i="1" l="1"/>
  <c r="B13" i="1"/>
  <c r="Q6" i="1"/>
  <c r="G10" i="1" l="1"/>
  <c r="P6" i="1" s="1"/>
  <c r="D10" i="1"/>
  <c r="C11" i="1" l="1"/>
  <c r="B11" i="1" s="1"/>
  <c r="C34" i="1"/>
  <c r="R103" i="1" l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91" i="1"/>
  <c r="R92" i="1"/>
  <c r="R93" i="1"/>
  <c r="R94" i="1"/>
  <c r="R95" i="1"/>
  <c r="R96" i="1"/>
  <c r="R97" i="1"/>
  <c r="R98" i="1"/>
  <c r="R99" i="1"/>
  <c r="R100" i="1"/>
  <c r="R101" i="1"/>
  <c r="R102" i="1"/>
  <c r="R7" i="1"/>
  <c r="O7" i="1" s="1"/>
  <c r="R56" i="1"/>
  <c r="R79" i="1"/>
  <c r="R80" i="1"/>
  <c r="R81" i="1"/>
  <c r="R82" i="1"/>
  <c r="R83" i="1"/>
  <c r="R84" i="1"/>
  <c r="R85" i="1"/>
  <c r="R86" i="1"/>
  <c r="R87" i="1"/>
  <c r="R88" i="1"/>
  <c r="R89" i="1"/>
  <c r="R9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F3" i="1" l="1"/>
  <c r="M6" i="1" l="1"/>
  <c r="M103" i="1" l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91" i="1"/>
  <c r="M92" i="1"/>
  <c r="M93" i="1"/>
  <c r="M94" i="1"/>
  <c r="M95" i="1"/>
  <c r="M96" i="1"/>
  <c r="M97" i="1"/>
  <c r="M98" i="1"/>
  <c r="M99" i="1"/>
  <c r="M100" i="1"/>
  <c r="M101" i="1"/>
  <c r="M102" i="1"/>
  <c r="M79" i="1"/>
  <c r="M80" i="1"/>
  <c r="M81" i="1"/>
  <c r="M82" i="1"/>
  <c r="M83" i="1"/>
  <c r="M84" i="1"/>
  <c r="M85" i="1"/>
  <c r="M86" i="1"/>
  <c r="M87" i="1"/>
  <c r="M88" i="1"/>
  <c r="M89" i="1"/>
  <c r="M90" i="1"/>
  <c r="M72" i="1"/>
  <c r="M74" i="1"/>
  <c r="M78" i="1"/>
  <c r="M75" i="1"/>
  <c r="M73" i="1"/>
  <c r="M77" i="1"/>
  <c r="M76" i="1"/>
  <c r="M31" i="1"/>
  <c r="P31" i="1" s="1"/>
  <c r="M33" i="1"/>
  <c r="M39" i="1"/>
  <c r="M47" i="1"/>
  <c r="M55" i="1"/>
  <c r="M63" i="1"/>
  <c r="M43" i="1"/>
  <c r="M51" i="1"/>
  <c r="M71" i="1"/>
  <c r="M40" i="1"/>
  <c r="M45" i="1"/>
  <c r="M50" i="1"/>
  <c r="M53" i="1"/>
  <c r="M64" i="1"/>
  <c r="M70" i="1"/>
  <c r="M36" i="1"/>
  <c r="M38" i="1"/>
  <c r="M41" i="1"/>
  <c r="M44" i="1"/>
  <c r="M46" i="1"/>
  <c r="M49" i="1"/>
  <c r="M52" i="1"/>
  <c r="M54" i="1"/>
  <c r="M57" i="1"/>
  <c r="M60" i="1"/>
  <c r="M62" i="1"/>
  <c r="M65" i="1"/>
  <c r="M67" i="1"/>
  <c r="M69" i="1"/>
  <c r="M34" i="1"/>
  <c r="M56" i="1"/>
  <c r="M61" i="1"/>
  <c r="M68" i="1"/>
  <c r="M32" i="1"/>
  <c r="M35" i="1"/>
  <c r="M59" i="1"/>
  <c r="M37" i="1"/>
  <c r="M42" i="1"/>
  <c r="M48" i="1"/>
  <c r="M58" i="1"/>
  <c r="M66" i="1"/>
  <c r="M29" i="1"/>
  <c r="M30" i="1"/>
  <c r="M27" i="1"/>
  <c r="M28" i="1"/>
  <c r="M8" i="1"/>
  <c r="M22" i="1"/>
  <c r="M23" i="1"/>
  <c r="M24" i="1"/>
  <c r="M25" i="1"/>
  <c r="M26" i="1"/>
  <c r="M15" i="1"/>
  <c r="M14" i="1"/>
  <c r="M19" i="1"/>
  <c r="M18" i="1"/>
  <c r="M11" i="1"/>
  <c r="M21" i="1"/>
  <c r="M17" i="1"/>
  <c r="M13" i="1"/>
  <c r="M20" i="1"/>
  <c r="M16" i="1"/>
  <c r="M12" i="1"/>
  <c r="M7" i="1"/>
  <c r="M10" i="1"/>
  <c r="M9" i="1"/>
  <c r="P7" i="1" l="1"/>
  <c r="P19" i="1"/>
  <c r="P20" i="1"/>
  <c r="P21" i="1"/>
  <c r="P22" i="1"/>
  <c r="P23" i="1"/>
  <c r="P24" i="1"/>
  <c r="P25" i="1"/>
  <c r="P26" i="1"/>
  <c r="P27" i="1"/>
  <c r="P28" i="1"/>
  <c r="P29" i="1"/>
  <c r="P30" i="1"/>
  <c r="P32" i="1"/>
  <c r="P33" i="1"/>
  <c r="P34" i="1"/>
  <c r="P35" i="1"/>
  <c r="P36" i="1"/>
  <c r="P38" i="1"/>
  <c r="P39" i="1"/>
  <c r="P40" i="1"/>
  <c r="P42" i="1"/>
  <c r="P43" i="1"/>
  <c r="P44" i="1"/>
  <c r="P46" i="1"/>
  <c r="P47" i="1"/>
  <c r="P48" i="1"/>
  <c r="P51" i="1"/>
  <c r="P52" i="1"/>
  <c r="P55" i="1"/>
  <c r="P56" i="1"/>
  <c r="P59" i="1"/>
  <c r="P60" i="1"/>
  <c r="P63" i="1"/>
  <c r="P64" i="1"/>
  <c r="P67" i="1"/>
  <c r="P68" i="1"/>
  <c r="P71" i="1"/>
  <c r="P72" i="1"/>
  <c r="P75" i="1"/>
  <c r="P76" i="1"/>
  <c r="P79" i="1"/>
  <c r="P80" i="1"/>
  <c r="P83" i="1"/>
  <c r="P84" i="1"/>
  <c r="P87" i="1"/>
  <c r="P88" i="1"/>
  <c r="P91" i="1"/>
  <c r="P92" i="1"/>
  <c r="P95" i="1"/>
  <c r="P96" i="1"/>
  <c r="P99" i="1"/>
  <c r="P100" i="1"/>
  <c r="P103" i="1"/>
  <c r="P104" i="1"/>
  <c r="P107" i="1"/>
  <c r="P108" i="1"/>
  <c r="P111" i="1"/>
  <c r="P112" i="1"/>
  <c r="P115" i="1"/>
  <c r="P116" i="1"/>
  <c r="P119" i="1"/>
  <c r="P120" i="1"/>
  <c r="P123" i="1"/>
  <c r="P124" i="1"/>
  <c r="P127" i="1"/>
  <c r="P128" i="1"/>
  <c r="P131" i="1"/>
  <c r="P132" i="1"/>
  <c r="P135" i="1"/>
  <c r="P136" i="1"/>
  <c r="P139" i="1"/>
  <c r="P140" i="1"/>
  <c r="P143" i="1"/>
  <c r="P144" i="1"/>
  <c r="P147" i="1"/>
  <c r="P148" i="1"/>
  <c r="P151" i="1"/>
  <c r="P152" i="1"/>
  <c r="P155" i="1"/>
  <c r="P156" i="1"/>
  <c r="P159" i="1"/>
  <c r="P160" i="1"/>
  <c r="P163" i="1"/>
  <c r="P164" i="1"/>
  <c r="P167" i="1"/>
  <c r="P168" i="1"/>
  <c r="P171" i="1"/>
  <c r="P172" i="1"/>
  <c r="P175" i="1"/>
  <c r="P176" i="1"/>
  <c r="P179" i="1"/>
  <c r="P180" i="1"/>
  <c r="P183" i="1"/>
  <c r="P184" i="1"/>
  <c r="J8" i="1" l="1"/>
  <c r="N7" i="1"/>
  <c r="Q7" i="1" s="1"/>
  <c r="O8" i="1" s="1"/>
  <c r="P37" i="1" l="1"/>
  <c r="P186" i="1" l="1"/>
  <c r="P8" i="1" l="1"/>
  <c r="N8" i="1" s="1"/>
  <c r="Q8" i="1" s="1"/>
  <c r="O9" i="1" l="1"/>
  <c r="P9" i="1" s="1"/>
  <c r="N9" i="1" s="1"/>
  <c r="Q9" i="1" s="1"/>
  <c r="O10" i="1" l="1"/>
  <c r="P10" i="1" s="1"/>
  <c r="N10" i="1" s="1"/>
  <c r="Q10" i="1" s="1"/>
  <c r="O11" i="1" l="1"/>
  <c r="P11" i="1" s="1"/>
  <c r="N11" i="1" s="1"/>
  <c r="Q11" i="1" s="1"/>
  <c r="P18" i="1"/>
  <c r="O12" i="1" l="1"/>
  <c r="P12" i="1" s="1"/>
  <c r="N12" i="1" s="1"/>
  <c r="Q12" i="1" s="1"/>
  <c r="O13" i="1" l="1"/>
  <c r="P13" i="1" l="1"/>
  <c r="N13" i="1" l="1"/>
  <c r="Q13" i="1" s="1"/>
  <c r="O14" i="1" l="1"/>
  <c r="P14" i="1" l="1"/>
  <c r="N14" i="1" l="1"/>
  <c r="Q14" i="1" s="1"/>
  <c r="O15" i="1" l="1"/>
  <c r="P15" i="1" l="1"/>
  <c r="N15" i="1" l="1"/>
  <c r="Q15" i="1" s="1"/>
  <c r="O16" i="1" l="1"/>
  <c r="P16" i="1" l="1"/>
  <c r="N16" i="1" l="1"/>
  <c r="Q16" i="1" s="1"/>
  <c r="O17" i="1" l="1"/>
  <c r="P17" i="1" s="1"/>
  <c r="N17" i="1" l="1"/>
  <c r="Q17" i="1" s="1"/>
  <c r="O18" i="1" l="1"/>
  <c r="N18" i="1" l="1"/>
  <c r="Q18" i="1" l="1"/>
  <c r="O19" i="1" s="1"/>
  <c r="N19" i="1" l="1"/>
  <c r="Q19" i="1" l="1"/>
  <c r="O20" i="1" s="1"/>
  <c r="N20" i="1" l="1"/>
  <c r="Q20" i="1" l="1"/>
  <c r="O21" i="1" s="1"/>
  <c r="N21" i="1" l="1"/>
  <c r="Q21" i="1" l="1"/>
  <c r="O22" i="1" s="1"/>
  <c r="N22" i="1" l="1"/>
  <c r="Q22" i="1" l="1"/>
  <c r="O23" i="1" s="1"/>
  <c r="N23" i="1" l="1"/>
  <c r="Q23" i="1" l="1"/>
  <c r="O24" i="1" s="1"/>
  <c r="N24" i="1" s="1"/>
  <c r="Q24" i="1" s="1"/>
  <c r="O25" i="1" s="1"/>
  <c r="N25" i="1" s="1"/>
  <c r="Q25" i="1" s="1"/>
  <c r="O26" i="1" s="1"/>
  <c r="N26" i="1" s="1"/>
  <c r="Q26" i="1" s="1"/>
  <c r="O27" i="1" s="1"/>
  <c r="N27" i="1" s="1"/>
  <c r="Q27" i="1" s="1"/>
  <c r="O28" i="1" s="1"/>
  <c r="N28" i="1" s="1"/>
  <c r="Q28" i="1" s="1"/>
  <c r="O29" i="1" s="1"/>
  <c r="N29" i="1" s="1"/>
  <c r="Q29" i="1" s="1"/>
  <c r="O30" i="1" s="1"/>
  <c r="N30" i="1" s="1"/>
  <c r="Q30" i="1" s="1"/>
  <c r="O31" i="1" s="1"/>
  <c r="N31" i="1" s="1"/>
  <c r="Q31" i="1" s="1"/>
  <c r="O32" i="1" s="1"/>
  <c r="N32" i="1" s="1"/>
  <c r="Q32" i="1" s="1"/>
  <c r="O33" i="1" s="1"/>
  <c r="N33" i="1" s="1"/>
  <c r="Q33" i="1" s="1"/>
  <c r="O34" i="1" s="1"/>
  <c r="N34" i="1" s="1"/>
  <c r="Q34" i="1" s="1"/>
  <c r="O35" i="1" s="1"/>
  <c r="N35" i="1" s="1"/>
  <c r="Q35" i="1" s="1"/>
  <c r="O36" i="1" s="1"/>
  <c r="N36" i="1" s="1"/>
  <c r="Q36" i="1" s="1"/>
  <c r="O37" i="1" s="1"/>
  <c r="N37" i="1" s="1"/>
  <c r="Q37" i="1" s="1"/>
  <c r="O38" i="1" s="1"/>
  <c r="N38" i="1" s="1"/>
  <c r="Q38" i="1" s="1"/>
  <c r="O39" i="1" s="1"/>
  <c r="N39" i="1" s="1"/>
  <c r="Q39" i="1" s="1"/>
  <c r="O40" i="1" s="1"/>
  <c r="N40" i="1" s="1"/>
  <c r="Q40" i="1" s="1"/>
  <c r="O41" i="1" s="1"/>
  <c r="P41" i="1" s="1"/>
  <c r="N41" i="1" l="1"/>
  <c r="Q41" i="1" s="1"/>
  <c r="O42" i="1" s="1"/>
  <c r="N42" i="1" s="1"/>
  <c r="Q42" i="1" s="1"/>
  <c r="O43" i="1" s="1"/>
  <c r="N43" i="1" s="1"/>
  <c r="Q43" i="1" s="1"/>
  <c r="O44" i="1" s="1"/>
  <c r="N44" i="1" s="1"/>
  <c r="Q44" i="1" s="1"/>
  <c r="O45" i="1" s="1"/>
  <c r="P45" i="1" s="1"/>
  <c r="N45" i="1" s="1"/>
  <c r="Q45" i="1" s="1"/>
  <c r="O46" i="1" s="1"/>
  <c r="N46" i="1" s="1"/>
  <c r="Q46" i="1" s="1"/>
  <c r="O47" i="1" s="1"/>
  <c r="N47" i="1" s="1"/>
  <c r="Q47" i="1" s="1"/>
  <c r="O48" i="1" s="1"/>
  <c r="N48" i="1" s="1"/>
  <c r="Q48" i="1" s="1"/>
  <c r="O49" i="1" s="1"/>
  <c r="P49" i="1" s="1"/>
  <c r="N49" i="1" s="1"/>
  <c r="Q49" i="1" s="1"/>
  <c r="O50" i="1" s="1"/>
  <c r="P50" i="1" s="1"/>
  <c r="N50" i="1" s="1"/>
  <c r="Q50" i="1" s="1"/>
  <c r="O51" i="1" s="1"/>
  <c r="N51" i="1" s="1"/>
  <c r="Q51" i="1" s="1"/>
  <c r="O52" i="1" s="1"/>
  <c r="N52" i="1" s="1"/>
  <c r="Q52" i="1" s="1"/>
  <c r="O53" i="1" s="1"/>
  <c r="P53" i="1" s="1"/>
  <c r="N53" i="1" s="1"/>
  <c r="Q53" i="1" s="1"/>
  <c r="O54" i="1" s="1"/>
  <c r="P54" i="1" s="1"/>
  <c r="N54" i="1" s="1"/>
  <c r="Q54" i="1" s="1"/>
  <c r="O55" i="1" s="1"/>
  <c r="N55" i="1" s="1"/>
  <c r="Q55" i="1" s="1"/>
  <c r="O56" i="1" s="1"/>
  <c r="N56" i="1" s="1"/>
  <c r="Q56" i="1" s="1"/>
  <c r="O57" i="1" s="1"/>
  <c r="P57" i="1" s="1"/>
  <c r="N57" i="1" s="1"/>
  <c r="Q57" i="1" s="1"/>
  <c r="O58" i="1" s="1"/>
  <c r="P58" i="1" s="1"/>
  <c r="N58" i="1" s="1"/>
  <c r="Q58" i="1" s="1"/>
  <c r="O59" i="1" s="1"/>
  <c r="N59" i="1" s="1"/>
  <c r="Q59" i="1" s="1"/>
  <c r="O60" i="1" s="1"/>
  <c r="N60" i="1" s="1"/>
  <c r="Q60" i="1" s="1"/>
  <c r="O61" i="1" s="1"/>
  <c r="P61" i="1" s="1"/>
  <c r="N61" i="1" s="1"/>
  <c r="Q61" i="1" s="1"/>
  <c r="O62" i="1" s="1"/>
  <c r="P62" i="1" s="1"/>
  <c r="N62" i="1" s="1"/>
  <c r="Q62" i="1" s="1"/>
  <c r="O63" i="1" s="1"/>
  <c r="N63" i="1" s="1"/>
  <c r="Q63" i="1" s="1"/>
  <c r="O64" i="1" s="1"/>
  <c r="N64" i="1" s="1"/>
  <c r="Q64" i="1" s="1"/>
  <c r="O65" i="1" s="1"/>
  <c r="P65" i="1" s="1"/>
  <c r="N65" i="1" s="1"/>
  <c r="Q65" i="1" s="1"/>
  <c r="O66" i="1" s="1"/>
  <c r="P66" i="1" s="1"/>
  <c r="N66" i="1" s="1"/>
  <c r="Q66" i="1" s="1"/>
  <c r="O67" i="1" s="1"/>
  <c r="N67" i="1" s="1"/>
  <c r="Q67" i="1" s="1"/>
  <c r="O68" i="1" s="1"/>
  <c r="N68" i="1" s="1"/>
  <c r="Q68" i="1" s="1"/>
  <c r="O69" i="1" s="1"/>
  <c r="P69" i="1" s="1"/>
  <c r="N69" i="1" s="1"/>
  <c r="Q69" i="1" s="1"/>
  <c r="O70" i="1" s="1"/>
  <c r="P70" i="1" s="1"/>
  <c r="N70" i="1" s="1"/>
  <c r="Q70" i="1" s="1"/>
  <c r="O71" i="1" s="1"/>
  <c r="N71" i="1" s="1"/>
  <c r="Q71" i="1" s="1"/>
  <c r="O72" i="1" s="1"/>
  <c r="N72" i="1" s="1"/>
  <c r="Q72" i="1" s="1"/>
  <c r="O73" i="1" s="1"/>
  <c r="P73" i="1" s="1"/>
  <c r="N73" i="1" s="1"/>
  <c r="Q73" i="1" s="1"/>
  <c r="O74" i="1" s="1"/>
  <c r="P74" i="1" s="1"/>
  <c r="N74" i="1" s="1"/>
  <c r="Q74" i="1" s="1"/>
  <c r="O75" i="1" s="1"/>
  <c r="N75" i="1" s="1"/>
  <c r="Q75" i="1" s="1"/>
  <c r="O76" i="1" s="1"/>
  <c r="N76" i="1" s="1"/>
  <c r="Q76" i="1" s="1"/>
  <c r="O77" i="1" s="1"/>
  <c r="P77" i="1" s="1"/>
  <c r="N77" i="1" s="1"/>
  <c r="Q77" i="1" s="1"/>
  <c r="O78" i="1" s="1"/>
  <c r="P78" i="1" s="1"/>
  <c r="N78" i="1" s="1"/>
  <c r="Q78" i="1" s="1"/>
  <c r="O79" i="1" s="1"/>
  <c r="N79" i="1" s="1"/>
  <c r="Q79" i="1" s="1"/>
  <c r="O80" i="1" s="1"/>
  <c r="N80" i="1" s="1"/>
  <c r="Q80" i="1" s="1"/>
  <c r="O81" i="1" s="1"/>
  <c r="P81" i="1" s="1"/>
  <c r="N81" i="1" s="1"/>
  <c r="Q81" i="1" s="1"/>
  <c r="O82" i="1" s="1"/>
  <c r="P82" i="1" s="1"/>
  <c r="N82" i="1" s="1"/>
  <c r="Q82" i="1" s="1"/>
  <c r="O83" i="1" s="1"/>
  <c r="N83" i="1" s="1"/>
  <c r="Q83" i="1" s="1"/>
  <c r="O84" i="1" s="1"/>
  <c r="N84" i="1" s="1"/>
  <c r="Q84" i="1" s="1"/>
  <c r="O85" i="1" s="1"/>
  <c r="P85" i="1" s="1"/>
  <c r="N85" i="1" s="1"/>
  <c r="Q85" i="1" s="1"/>
  <c r="O86" i="1" s="1"/>
  <c r="P86" i="1" s="1"/>
  <c r="N86" i="1" s="1"/>
  <c r="Q86" i="1" s="1"/>
  <c r="O87" i="1" s="1"/>
  <c r="N87" i="1" s="1"/>
  <c r="Q87" i="1" s="1"/>
  <c r="O88" i="1" s="1"/>
  <c r="N88" i="1" s="1"/>
  <c r="Q88" i="1" s="1"/>
  <c r="O89" i="1" s="1"/>
  <c r="P89" i="1" s="1"/>
  <c r="N89" i="1" s="1"/>
  <c r="Q89" i="1" s="1"/>
  <c r="O90" i="1" s="1"/>
  <c r="P90" i="1" s="1"/>
  <c r="N90" i="1" s="1"/>
  <c r="Q90" i="1" s="1"/>
  <c r="O91" i="1" s="1"/>
  <c r="N91" i="1" s="1"/>
  <c r="Q91" i="1" s="1"/>
  <c r="O92" i="1" s="1"/>
  <c r="N92" i="1" s="1"/>
  <c r="Q92" i="1" s="1"/>
  <c r="O93" i="1" s="1"/>
  <c r="P93" i="1" s="1"/>
  <c r="N93" i="1" s="1"/>
  <c r="Q93" i="1" s="1"/>
  <c r="O94" i="1" s="1"/>
  <c r="P94" i="1" s="1"/>
  <c r="N94" i="1" s="1"/>
  <c r="Q94" i="1" s="1"/>
  <c r="O95" i="1" s="1"/>
  <c r="N95" i="1" s="1"/>
  <c r="Q95" i="1" s="1"/>
  <c r="O96" i="1" s="1"/>
  <c r="N96" i="1" s="1"/>
  <c r="Q96" i="1" s="1"/>
  <c r="O97" i="1" s="1"/>
  <c r="P97" i="1" s="1"/>
  <c r="N97" i="1" s="1"/>
  <c r="Q97" i="1" s="1"/>
  <c r="O98" i="1" s="1"/>
  <c r="P98" i="1" s="1"/>
  <c r="N98" i="1" s="1"/>
  <c r="Q98" i="1" s="1"/>
  <c r="O99" i="1" s="1"/>
  <c r="N99" i="1" s="1"/>
  <c r="Q99" i="1" s="1"/>
  <c r="O100" i="1" s="1"/>
  <c r="N100" i="1" s="1"/>
  <c r="Q100" i="1" s="1"/>
  <c r="O101" i="1" s="1"/>
  <c r="P101" i="1" s="1"/>
  <c r="N101" i="1" s="1"/>
  <c r="Q101" i="1" s="1"/>
  <c r="O102" i="1" s="1"/>
  <c r="P102" i="1" s="1"/>
  <c r="N102" i="1" s="1"/>
  <c r="Q102" i="1" s="1"/>
  <c r="O103" i="1" s="1"/>
  <c r="N103" i="1" s="1"/>
  <c r="Q103" i="1" s="1"/>
  <c r="O104" i="1" s="1"/>
  <c r="N104" i="1" s="1"/>
  <c r="Q104" i="1" s="1"/>
  <c r="O105" i="1" s="1"/>
  <c r="P105" i="1" s="1"/>
  <c r="N105" i="1" s="1"/>
  <c r="Q105" i="1" s="1"/>
  <c r="O106" i="1" s="1"/>
  <c r="P106" i="1" s="1"/>
  <c r="N106" i="1" s="1"/>
  <c r="Q106" i="1" s="1"/>
  <c r="O107" i="1" s="1"/>
  <c r="N107" i="1" s="1"/>
  <c r="Q107" i="1" s="1"/>
  <c r="O108" i="1" s="1"/>
  <c r="N108" i="1" s="1"/>
  <c r="Q108" i="1" s="1"/>
  <c r="O109" i="1" s="1"/>
  <c r="P109" i="1" s="1"/>
  <c r="N109" i="1" s="1"/>
  <c r="Q109" i="1" s="1"/>
  <c r="O110" i="1" s="1"/>
  <c r="P110" i="1" s="1"/>
  <c r="N110" i="1" s="1"/>
  <c r="Q110" i="1" s="1"/>
  <c r="O111" i="1" s="1"/>
  <c r="N111" i="1" s="1"/>
  <c r="Q111" i="1" s="1"/>
  <c r="O112" i="1" s="1"/>
  <c r="N112" i="1" s="1"/>
  <c r="Q112" i="1" s="1"/>
  <c r="O113" i="1" s="1"/>
  <c r="P113" i="1" s="1"/>
  <c r="N113" i="1" s="1"/>
  <c r="Q113" i="1" s="1"/>
  <c r="O114" i="1" s="1"/>
  <c r="P114" i="1" s="1"/>
  <c r="N114" i="1" s="1"/>
  <c r="Q114" i="1" s="1"/>
  <c r="O115" i="1" s="1"/>
  <c r="N115" i="1" s="1"/>
  <c r="Q115" i="1" s="1"/>
  <c r="O116" i="1" s="1"/>
  <c r="N116" i="1" s="1"/>
  <c r="Q116" i="1" s="1"/>
  <c r="O117" i="1" s="1"/>
  <c r="P117" i="1" s="1"/>
  <c r="N117" i="1" s="1"/>
  <c r="Q117" i="1" s="1"/>
  <c r="O118" i="1" s="1"/>
  <c r="P118" i="1" s="1"/>
  <c r="N118" i="1" s="1"/>
  <c r="Q118" i="1" s="1"/>
  <c r="O119" i="1" s="1"/>
  <c r="N119" i="1" s="1"/>
  <c r="Q119" i="1" s="1"/>
  <c r="O120" i="1" s="1"/>
  <c r="N120" i="1" s="1"/>
  <c r="Q120" i="1" s="1"/>
  <c r="O121" i="1" s="1"/>
  <c r="P121" i="1" s="1"/>
  <c r="N121" i="1" s="1"/>
  <c r="Q121" i="1" s="1"/>
  <c r="O122" i="1" s="1"/>
  <c r="P122" i="1" s="1"/>
  <c r="N122" i="1" s="1"/>
  <c r="Q122" i="1" s="1"/>
  <c r="O123" i="1" s="1"/>
  <c r="N123" i="1" s="1"/>
  <c r="Q123" i="1" s="1"/>
  <c r="O124" i="1" s="1"/>
  <c r="N124" i="1" s="1"/>
  <c r="Q124" i="1" s="1"/>
  <c r="O125" i="1" s="1"/>
  <c r="P125" i="1" s="1"/>
  <c r="N125" i="1" s="1"/>
  <c r="Q125" i="1" s="1"/>
  <c r="O126" i="1" s="1"/>
  <c r="P126" i="1" s="1"/>
  <c r="N126" i="1" s="1"/>
  <c r="Q126" i="1" s="1"/>
  <c r="O127" i="1" s="1"/>
  <c r="N127" i="1" s="1"/>
  <c r="Q127" i="1" s="1"/>
  <c r="O128" i="1" s="1"/>
  <c r="N128" i="1" s="1"/>
  <c r="Q128" i="1" s="1"/>
  <c r="O129" i="1" s="1"/>
  <c r="P129" i="1" s="1"/>
  <c r="N129" i="1" s="1"/>
  <c r="Q129" i="1" s="1"/>
  <c r="O130" i="1" s="1"/>
  <c r="P130" i="1" s="1"/>
  <c r="N130" i="1" s="1"/>
  <c r="Q130" i="1" s="1"/>
  <c r="O131" i="1" s="1"/>
  <c r="N131" i="1" s="1"/>
  <c r="Q131" i="1" s="1"/>
  <c r="O132" i="1" s="1"/>
  <c r="N132" i="1" s="1"/>
  <c r="Q132" i="1" s="1"/>
  <c r="O133" i="1" s="1"/>
  <c r="P133" i="1" s="1"/>
  <c r="N133" i="1" s="1"/>
  <c r="Q133" i="1" s="1"/>
  <c r="O134" i="1" s="1"/>
  <c r="P134" i="1" s="1"/>
  <c r="N134" i="1" s="1"/>
  <c r="Q134" i="1" s="1"/>
  <c r="O135" i="1" s="1"/>
  <c r="N135" i="1" s="1"/>
  <c r="Q135" i="1" s="1"/>
  <c r="O136" i="1" s="1"/>
  <c r="N136" i="1" s="1"/>
  <c r="Q136" i="1" s="1"/>
  <c r="O137" i="1" s="1"/>
  <c r="P137" i="1" s="1"/>
  <c r="N137" i="1" s="1"/>
  <c r="Q137" i="1" s="1"/>
  <c r="O138" i="1" s="1"/>
  <c r="P138" i="1" s="1"/>
  <c r="N138" i="1" s="1"/>
  <c r="Q138" i="1" s="1"/>
  <c r="O139" i="1" s="1"/>
  <c r="N139" i="1" s="1"/>
  <c r="Q139" i="1" s="1"/>
  <c r="O140" i="1" s="1"/>
  <c r="N140" i="1" s="1"/>
  <c r="Q140" i="1" s="1"/>
  <c r="O141" i="1" s="1"/>
  <c r="P141" i="1" s="1"/>
  <c r="N141" i="1" s="1"/>
  <c r="Q141" i="1" s="1"/>
  <c r="O142" i="1" s="1"/>
  <c r="P142" i="1" s="1"/>
  <c r="N142" i="1" s="1"/>
  <c r="Q142" i="1" s="1"/>
  <c r="O143" i="1" s="1"/>
  <c r="N143" i="1" s="1"/>
  <c r="Q143" i="1" s="1"/>
  <c r="O144" i="1" s="1"/>
  <c r="N144" i="1" s="1"/>
  <c r="Q144" i="1" s="1"/>
  <c r="O145" i="1" s="1"/>
  <c r="P145" i="1" s="1"/>
  <c r="N145" i="1" s="1"/>
  <c r="Q145" i="1" s="1"/>
  <c r="O146" i="1" s="1"/>
  <c r="P146" i="1" s="1"/>
  <c r="N146" i="1" s="1"/>
  <c r="Q146" i="1" s="1"/>
  <c r="O147" i="1" s="1"/>
  <c r="N147" i="1" s="1"/>
  <c r="Q147" i="1" s="1"/>
  <c r="O148" i="1" s="1"/>
  <c r="N148" i="1" s="1"/>
  <c r="Q148" i="1" s="1"/>
  <c r="O149" i="1" s="1"/>
  <c r="P149" i="1" s="1"/>
  <c r="N149" i="1" s="1"/>
  <c r="Q149" i="1" s="1"/>
  <c r="O150" i="1" s="1"/>
  <c r="P150" i="1" s="1"/>
  <c r="N150" i="1" s="1"/>
  <c r="Q150" i="1" s="1"/>
  <c r="O151" i="1" s="1"/>
  <c r="N151" i="1" s="1"/>
  <c r="Q151" i="1" s="1"/>
  <c r="O152" i="1" s="1"/>
  <c r="N152" i="1" s="1"/>
  <c r="Q152" i="1" s="1"/>
  <c r="O153" i="1" s="1"/>
  <c r="P153" i="1" s="1"/>
  <c r="N153" i="1" s="1"/>
  <c r="Q153" i="1" s="1"/>
  <c r="O154" i="1" s="1"/>
  <c r="P154" i="1" s="1"/>
  <c r="N154" i="1" s="1"/>
  <c r="Q154" i="1" s="1"/>
  <c r="O155" i="1" s="1"/>
  <c r="N155" i="1" s="1"/>
  <c r="Q155" i="1" s="1"/>
  <c r="O156" i="1" s="1"/>
  <c r="N156" i="1" s="1"/>
  <c r="Q156" i="1" s="1"/>
  <c r="O157" i="1" s="1"/>
  <c r="P157" i="1" s="1"/>
  <c r="N157" i="1" s="1"/>
  <c r="Q157" i="1" s="1"/>
  <c r="O158" i="1" s="1"/>
  <c r="P158" i="1" s="1"/>
  <c r="N158" i="1" s="1"/>
  <c r="Q158" i="1" s="1"/>
  <c r="O159" i="1" s="1"/>
  <c r="N159" i="1" s="1"/>
  <c r="Q159" i="1" s="1"/>
  <c r="O160" i="1" s="1"/>
  <c r="N160" i="1" s="1"/>
  <c r="Q160" i="1" s="1"/>
  <c r="O161" i="1" s="1"/>
  <c r="P161" i="1" s="1"/>
  <c r="N161" i="1" s="1"/>
  <c r="Q161" i="1" s="1"/>
  <c r="O162" i="1" s="1"/>
  <c r="P162" i="1" s="1"/>
  <c r="N162" i="1" s="1"/>
  <c r="Q162" i="1" s="1"/>
  <c r="O163" i="1" s="1"/>
  <c r="N163" i="1" s="1"/>
  <c r="Q163" i="1" s="1"/>
  <c r="O164" i="1" s="1"/>
  <c r="N164" i="1" s="1"/>
  <c r="Q164" i="1" s="1"/>
  <c r="O165" i="1" s="1"/>
  <c r="P165" i="1" s="1"/>
  <c r="N165" i="1" s="1"/>
  <c r="Q165" i="1" s="1"/>
  <c r="O166" i="1" s="1"/>
  <c r="P166" i="1" s="1"/>
  <c r="N166" i="1" s="1"/>
  <c r="Q166" i="1" s="1"/>
  <c r="O167" i="1" s="1"/>
  <c r="N167" i="1" s="1"/>
  <c r="Q167" i="1" s="1"/>
  <c r="O168" i="1" s="1"/>
  <c r="N168" i="1" s="1"/>
  <c r="Q168" i="1" s="1"/>
  <c r="O169" i="1" s="1"/>
  <c r="P169" i="1" s="1"/>
  <c r="N169" i="1" s="1"/>
  <c r="Q169" i="1" s="1"/>
  <c r="O170" i="1" s="1"/>
  <c r="P170" i="1" s="1"/>
  <c r="N170" i="1" s="1"/>
  <c r="Q170" i="1" s="1"/>
  <c r="O171" i="1" s="1"/>
  <c r="N171" i="1" s="1"/>
  <c r="Q171" i="1" s="1"/>
  <c r="O172" i="1" s="1"/>
  <c r="N172" i="1" s="1"/>
  <c r="Q172" i="1" s="1"/>
  <c r="O173" i="1" s="1"/>
  <c r="P173" i="1" s="1"/>
  <c r="N173" i="1" s="1"/>
  <c r="Q173" i="1" s="1"/>
  <c r="O174" i="1" s="1"/>
  <c r="P174" i="1" s="1"/>
  <c r="N174" i="1" s="1"/>
  <c r="Q174" i="1" s="1"/>
  <c r="O175" i="1" s="1"/>
  <c r="N175" i="1" s="1"/>
  <c r="Q175" i="1" s="1"/>
  <c r="O176" i="1" s="1"/>
  <c r="N176" i="1" s="1"/>
  <c r="Q176" i="1" s="1"/>
  <c r="O177" i="1" s="1"/>
  <c r="P177" i="1" s="1"/>
  <c r="N177" i="1" s="1"/>
  <c r="Q177" i="1" s="1"/>
  <c r="O178" i="1" s="1"/>
  <c r="P178" i="1" s="1"/>
  <c r="N178" i="1" s="1"/>
  <c r="Q178" i="1" s="1"/>
  <c r="O179" i="1" s="1"/>
  <c r="N179" i="1" s="1"/>
  <c r="Q179" i="1" s="1"/>
  <c r="O180" i="1" s="1"/>
  <c r="N180" i="1" s="1"/>
  <c r="Q180" i="1" s="1"/>
  <c r="O181" i="1" s="1"/>
  <c r="P181" i="1" s="1"/>
  <c r="N181" i="1" s="1"/>
  <c r="Q181" i="1" s="1"/>
  <c r="O182" i="1" s="1"/>
  <c r="P182" i="1" s="1"/>
  <c r="N182" i="1" s="1"/>
  <c r="Q182" i="1" s="1"/>
  <c r="O183" i="1" s="1"/>
  <c r="N183" i="1" s="1"/>
  <c r="Q183" i="1" s="1"/>
  <c r="O184" i="1" s="1"/>
  <c r="N184" i="1" s="1"/>
  <c r="Q184" i="1" s="1"/>
  <c r="O185" i="1" s="1"/>
  <c r="P185" i="1" s="1"/>
  <c r="N185" i="1" s="1"/>
  <c r="Q185" i="1" s="1"/>
  <c r="J14" i="1" l="1"/>
  <c r="O186" i="1"/>
  <c r="N186" i="1" l="1"/>
  <c r="O6" i="1"/>
  <c r="J10" i="1" l="1"/>
  <c r="J12" i="1"/>
  <c r="N6" i="1"/>
  <c r="Q186" i="1"/>
  <c r="N4" i="1"/>
</calcChain>
</file>

<file path=xl/sharedStrings.xml><?xml version="1.0" encoding="utf-8"?>
<sst xmlns="http://schemas.openxmlformats.org/spreadsheetml/2006/main" count="40" uniqueCount="40">
  <si>
    <t>Разова комісія</t>
  </si>
  <si>
    <t>Сума кредиту, грн</t>
  </si>
  <si>
    <t>Строк кредиту, міс</t>
  </si>
  <si>
    <t>Реальна річна процентна ставка</t>
  </si>
  <si>
    <t>Дата розрахунку</t>
  </si>
  <si>
    <t>Загальні витрати по кредиту, грн</t>
  </si>
  <si>
    <t>Загальна вартість кредиту, грн</t>
  </si>
  <si>
    <t>Строк пільгового періода, міс</t>
  </si>
  <si>
    <t>Вартість нерухомості, грн</t>
  </si>
  <si>
    <t>Процентна ставка, перші 3 роки, % річних</t>
  </si>
  <si>
    <t>Маржа (фіксована)</t>
  </si>
  <si>
    <t>UIRD 12M (змінювана)</t>
  </si>
  <si>
    <t>Процентна ставка, з 4-го року, % річних :</t>
  </si>
  <si>
    <t>Схема погашення (ануїтет / стандарт)</t>
  </si>
  <si>
    <t>Страхування майна (предмету іпотеки), щорічно, грн</t>
  </si>
  <si>
    <t>Страхування від нещасного випадку Позичальника, грн</t>
  </si>
  <si>
    <t>Послуги оцінювача, грн.</t>
  </si>
  <si>
    <t>Послуги нотаріуса, разово, грн</t>
  </si>
  <si>
    <t>Збори на обов’язкове пенсійне страхування, грн</t>
  </si>
  <si>
    <t>Оплата самостійно</t>
  </si>
  <si>
    <t>Період</t>
  </si>
  <si>
    <t>Дата платежу</t>
  </si>
  <si>
    <t>Погашення по тілу кредита</t>
  </si>
  <si>
    <t>Щомісячний платіж</t>
  </si>
  <si>
    <t>Залишок тіла кредиту</t>
  </si>
  <si>
    <t>Орієнтовний графік</t>
  </si>
  <si>
    <t>Платіж в першому місяці, грн</t>
  </si>
  <si>
    <t>Параметри кредиту*</t>
  </si>
  <si>
    <t>Результат розрахунків: **</t>
  </si>
  <si>
    <t>**Сума розрахунків є орієнтовною, конкретні умови кредитування будуть вказані в паспорті споживчого кредиту</t>
  </si>
  <si>
    <t>*Комірки залиті даним кольором доступні до редагування</t>
  </si>
  <si>
    <t>Перезапустіть Excel (повністю його закривши, і відкривши знову), щоб зміни вступили в силу.</t>
  </si>
  <si>
    <t>У файлі присутні макроси, для коректного розрахунку прохання перевірити їх доступність:</t>
  </si>
  <si>
    <t>"Файл" - "Параметры" - "Центр управления безопасностью" - "Параметры центра управления безопасностью" - "Параметры макросов" - "Включить все макросы"</t>
  </si>
  <si>
    <t>Авансовий платіж (перший внесок)</t>
  </si>
  <si>
    <t>Для розрахунку нажміть клавішу "Розрахунок графіку"</t>
  </si>
  <si>
    <t>Актуальне значення UIRD 12M UAH (12 місяців) можна переглянути за посиланням та використати для розрахунку</t>
  </si>
  <si>
    <t>Проценти по кредиту</t>
  </si>
  <si>
    <t>Супровідні послуги третіх осіб</t>
  </si>
  <si>
    <t>Ануїтет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</si>
</sst>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грн.&quot;_-;#,##0.00\ &quot;грн.&quot;_-;_-* &quot;-&quot;??\ &quot;грн.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0" tint="-4.9989318521683403E-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5" fillId="6" borderId="3" xfId="4" applyNumberFormat="1" applyFont="1" applyFill="1" applyBorder="1" applyAlignment="1" applyProtection="1">
      <alignment horizontal="right" vertical="center" wrapText="1" indent="1"/>
      <protection hidden="1"/>
    </xf>
    <xf numFmtId="14" fontId="9" fillId="6" borderId="3" xfId="2" applyNumberFormat="1" applyFont="1" applyFill="1" applyBorder="1" applyAlignment="1" applyProtection="1">
      <alignment horizontal="right" vertical="center" indent="1"/>
      <protection hidden="1"/>
    </xf>
    <xf numFmtId="0" fontId="5" fillId="5" borderId="4" xfId="4" applyNumberFormat="1" applyFont="1" applyFill="1" applyBorder="1" applyAlignment="1" applyProtection="1">
      <alignment horizontal="right" vertical="center" wrapText="1" indent="1"/>
      <protection hidden="1"/>
    </xf>
    <xf numFmtId="0" fontId="11" fillId="4" borderId="5" xfId="4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10" fontId="3" fillId="0" borderId="0" xfId="1" applyNumberFormat="1" applyFont="1" applyProtection="1">
      <protection hidden="1"/>
    </xf>
    <xf numFmtId="0" fontId="13" fillId="0" borderId="0" xfId="0" applyFont="1" applyProtection="1">
      <protection hidden="1"/>
    </xf>
    <xf numFmtId="0" fontId="11" fillId="4" borderId="5" xfId="4" applyFont="1" applyFill="1" applyBorder="1" applyAlignment="1" applyProtection="1">
      <alignment horizontal="left" vertical="center" wrapText="1"/>
      <protection hidden="1"/>
    </xf>
    <xf numFmtId="0" fontId="14" fillId="11" borderId="0" xfId="0" applyFont="1" applyFill="1" applyAlignment="1" applyProtection="1">
      <alignment horizontal="right" indent="2"/>
      <protection hidden="1"/>
    </xf>
    <xf numFmtId="10" fontId="2" fillId="3" borderId="13" xfId="1" applyNumberFormat="1" applyFont="1" applyFill="1" applyBorder="1" applyAlignment="1" applyProtection="1">
      <alignment horizontal="center"/>
      <protection hidden="1"/>
    </xf>
    <xf numFmtId="4" fontId="10" fillId="3" borderId="4" xfId="2" applyNumberFormat="1" applyFont="1" applyFill="1" applyBorder="1" applyAlignment="1" applyProtection="1">
      <alignment horizontal="center" vertical="center"/>
      <protection hidden="1"/>
    </xf>
    <xf numFmtId="4" fontId="11" fillId="4" borderId="4" xfId="2" applyNumberFormat="1" applyFont="1" applyFill="1" applyBorder="1" applyAlignment="1" applyProtection="1">
      <alignment horizontal="center" vertical="center"/>
      <protection hidden="1"/>
    </xf>
    <xf numFmtId="4" fontId="9" fillId="6" borderId="3" xfId="2" applyNumberFormat="1" applyFont="1" applyFill="1" applyBorder="1" applyAlignment="1" applyProtection="1">
      <alignment horizontal="center" vertical="center"/>
      <protection hidden="1"/>
    </xf>
    <xf numFmtId="4" fontId="9" fillId="6" borderId="3" xfId="4" applyNumberFormat="1" applyFont="1" applyFill="1" applyBorder="1" applyAlignment="1" applyProtection="1">
      <alignment horizontal="center" vertical="center" wrapText="1"/>
      <protection hidden="1"/>
    </xf>
    <xf numFmtId="0" fontId="5" fillId="5" borderId="2" xfId="2" applyFont="1" applyFill="1" applyBorder="1" applyAlignment="1" applyProtection="1">
      <alignment horizontal="center" vertical="center"/>
      <protection hidden="1"/>
    </xf>
    <xf numFmtId="0" fontId="5" fillId="2" borderId="2" xfId="2" applyFont="1" applyFill="1" applyBorder="1" applyAlignment="1" applyProtection="1">
      <alignment horizontal="center" vertical="center"/>
      <protection hidden="1"/>
    </xf>
    <xf numFmtId="10" fontId="14" fillId="2" borderId="1" xfId="1" applyNumberFormat="1" applyFont="1" applyFill="1" applyBorder="1" applyAlignment="1" applyProtection="1">
      <alignment horizontal="center"/>
      <protection hidden="1"/>
    </xf>
    <xf numFmtId="0" fontId="11" fillId="10" borderId="5" xfId="4" applyFont="1" applyFill="1" applyBorder="1" applyAlignment="1" applyProtection="1">
      <alignment horizontal="left" vertic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14" fontId="10" fillId="3" borderId="4" xfId="2" applyNumberFormat="1" applyFont="1" applyFill="1" applyBorder="1" applyAlignment="1" applyProtection="1">
      <alignment horizontal="right" vertical="center" indent="1"/>
      <protection hidden="1"/>
    </xf>
    <xf numFmtId="4" fontId="10" fillId="3" borderId="4" xfId="4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0" fontId="14" fillId="0" borderId="0" xfId="0" applyFont="1" applyProtection="1">
      <protection hidden="1"/>
    </xf>
    <xf numFmtId="4" fontId="14" fillId="0" borderId="0" xfId="0" applyNumberFormat="1" applyFont="1" applyProtection="1">
      <protection hidden="1"/>
    </xf>
    <xf numFmtId="2" fontId="14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0" fillId="8" borderId="7" xfId="0" applyFill="1" applyBorder="1" applyProtection="1">
      <protection hidden="1"/>
    </xf>
    <xf numFmtId="0" fontId="13" fillId="0" borderId="0" xfId="0" applyFont="1" applyAlignment="1" applyProtection="1">
      <alignment horizontal="left" indent="1"/>
      <protection hidden="1"/>
    </xf>
    <xf numFmtId="0" fontId="18" fillId="0" borderId="0" xfId="0" applyFont="1" applyAlignment="1" applyProtection="1">
      <alignment horizontal="left" indent="1"/>
      <protection hidden="1"/>
    </xf>
    <xf numFmtId="10" fontId="3" fillId="0" borderId="0" xfId="1" applyNumberFormat="1" applyFont="1" applyAlignment="1" applyProtection="1">
      <alignment horizontal="center"/>
      <protection locked="0" hidden="1"/>
    </xf>
    <xf numFmtId="2" fontId="3" fillId="0" borderId="0" xfId="0" applyNumberFormat="1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right" vertical="center"/>
      <protection hidden="1"/>
    </xf>
    <xf numFmtId="0" fontId="11" fillId="0" borderId="0" xfId="4" applyFont="1" applyFill="1" applyBorder="1" applyAlignment="1" applyProtection="1">
      <alignment horizontal="left" vertical="center"/>
      <protection hidden="1"/>
    </xf>
    <xf numFmtId="10" fontId="2" fillId="3" borderId="15" xfId="0" applyNumberFormat="1" applyFont="1" applyFill="1" applyBorder="1" applyAlignment="1" applyProtection="1">
      <alignment horizontal="center"/>
      <protection hidden="1"/>
    </xf>
    <xf numFmtId="10" fontId="2" fillId="8" borderId="16" xfId="0" applyNumberFormat="1" applyFont="1" applyFill="1" applyBorder="1" applyAlignment="1" applyProtection="1">
      <alignment horizontal="center"/>
      <protection locked="0" hidden="1"/>
    </xf>
    <xf numFmtId="164" fontId="2" fillId="8" borderId="7" xfId="0" applyNumberFormat="1" applyFont="1" applyFill="1" applyBorder="1" applyAlignment="1" applyProtection="1">
      <alignment horizontal="center"/>
      <protection locked="0" hidden="1"/>
    </xf>
    <xf numFmtId="164" fontId="2" fillId="9" borderId="7" xfId="0" applyNumberFormat="1" applyFont="1" applyFill="1" applyBorder="1" applyAlignment="1" applyProtection="1">
      <alignment horizontal="center"/>
      <protection hidden="1"/>
    </xf>
    <xf numFmtId="164" fontId="14" fillId="2" borderId="1" xfId="0" applyNumberFormat="1" applyFont="1" applyFill="1" applyBorder="1" applyAlignment="1" applyProtection="1">
      <alignment horizontal="center"/>
      <protection hidden="1"/>
    </xf>
    <xf numFmtId="0" fontId="6" fillId="12" borderId="6" xfId="2" applyFont="1" applyFill="1" applyBorder="1" applyAlignment="1" applyProtection="1">
      <alignment horizontal="center" vertical="center" wrapText="1"/>
      <protection hidden="1"/>
    </xf>
    <xf numFmtId="0" fontId="6" fillId="12" borderId="7" xfId="2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11" fillId="5" borderId="0" xfId="2" applyFont="1" applyFill="1" applyBorder="1" applyAlignment="1" applyProtection="1">
      <alignment horizontal="center" vertical="center" wrapText="1"/>
      <protection hidden="1"/>
    </xf>
    <xf numFmtId="14" fontId="12" fillId="7" borderId="0" xfId="2" applyNumberFormat="1" applyFont="1" applyFill="1" applyBorder="1" applyAlignment="1" applyProtection="1">
      <alignment horizontal="center" vertical="center" wrapText="1"/>
      <protection hidden="1"/>
    </xf>
    <xf numFmtId="0" fontId="12" fillId="12" borderId="6" xfId="4" applyFont="1" applyFill="1" applyBorder="1" applyAlignment="1" applyProtection="1">
      <alignment horizontal="center" vertical="center"/>
      <protection hidden="1"/>
    </xf>
    <xf numFmtId="0" fontId="12" fillId="12" borderId="7" xfId="4" applyFont="1" applyFill="1" applyBorder="1" applyAlignment="1" applyProtection="1">
      <alignment horizontal="center" vertical="center"/>
      <protection hidden="1"/>
    </xf>
    <xf numFmtId="0" fontId="12" fillId="3" borderId="6" xfId="4" applyFont="1" applyFill="1" applyBorder="1" applyAlignment="1" applyProtection="1">
      <alignment horizontal="center" vertical="center"/>
      <protection hidden="1"/>
    </xf>
    <xf numFmtId="0" fontId="12" fillId="3" borderId="7" xfId="4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/>
      <protection locked="0" hidden="1"/>
    </xf>
    <xf numFmtId="10" fontId="2" fillId="3" borderId="8" xfId="0" applyNumberFormat="1" applyFont="1" applyFill="1" applyBorder="1" applyAlignment="1" applyProtection="1">
      <alignment horizontal="center"/>
      <protection hidden="1"/>
    </xf>
    <xf numFmtId="10" fontId="2" fillId="3" borderId="7" xfId="0" applyNumberFormat="1" applyFont="1" applyFill="1" applyBorder="1" applyAlignment="1" applyProtection="1">
      <alignment horizontal="center"/>
      <protection hidden="1"/>
    </xf>
    <xf numFmtId="10" fontId="2" fillId="9" borderId="11" xfId="0" applyNumberFormat="1" applyFont="1" applyFill="1" applyBorder="1" applyAlignment="1" applyProtection="1">
      <alignment horizontal="center"/>
      <protection hidden="1"/>
    </xf>
    <xf numFmtId="10" fontId="2" fillId="9" borderId="12" xfId="0" applyNumberFormat="1" applyFont="1" applyFill="1" applyBorder="1" applyAlignment="1" applyProtection="1">
      <alignment horizontal="center"/>
      <protection hidden="1"/>
    </xf>
    <xf numFmtId="10" fontId="2" fillId="8" borderId="10" xfId="1" applyNumberFormat="1" applyFont="1" applyFill="1" applyBorder="1" applyAlignment="1" applyProtection="1">
      <alignment horizontal="center"/>
      <protection locked="0" hidden="1"/>
    </xf>
    <xf numFmtId="10" fontId="2" fillId="8" borderId="9" xfId="1" applyNumberFormat="1" applyFont="1" applyFill="1" applyBorder="1" applyAlignment="1" applyProtection="1">
      <alignment horizontal="center"/>
      <protection locked="0" hidden="1"/>
    </xf>
    <xf numFmtId="10" fontId="2" fillId="9" borderId="8" xfId="0" applyNumberFormat="1" applyFont="1" applyFill="1" applyBorder="1" applyAlignment="1" applyProtection="1">
      <alignment horizontal="center"/>
      <protection hidden="1"/>
    </xf>
    <xf numFmtId="10" fontId="2" fillId="9" borderId="7" xfId="0" applyNumberFormat="1" applyFont="1" applyFill="1" applyBorder="1" applyAlignment="1" applyProtection="1">
      <alignment horizontal="center"/>
      <protection hidden="1"/>
    </xf>
    <xf numFmtId="164" fontId="2" fillId="8" borderId="8" xfId="0" applyNumberFormat="1" applyFont="1" applyFill="1" applyBorder="1" applyAlignment="1" applyProtection="1">
      <alignment horizontal="center"/>
      <protection locked="0" hidden="1"/>
    </xf>
    <xf numFmtId="164" fontId="2" fillId="8" borderId="7" xfId="0" applyNumberFormat="1" applyFont="1" applyFill="1" applyBorder="1" applyAlignment="1" applyProtection="1">
      <alignment horizontal="center"/>
      <protection locked="0" hidden="1"/>
    </xf>
    <xf numFmtId="164" fontId="2" fillId="9" borderId="8" xfId="0" applyNumberFormat="1" applyFont="1" applyFill="1" applyBorder="1" applyAlignment="1" applyProtection="1">
      <alignment horizontal="center" vertical="center"/>
      <protection hidden="1"/>
    </xf>
    <xf numFmtId="164" fontId="2" fillId="9" borderId="7" xfId="0" applyNumberFormat="1" applyFont="1" applyFill="1" applyBorder="1" applyAlignment="1" applyProtection="1">
      <alignment horizontal="center" vertical="center"/>
      <protection hidden="1"/>
    </xf>
    <xf numFmtId="0" fontId="11" fillId="4" borderId="14" xfId="4" applyFont="1" applyFill="1" applyBorder="1" applyAlignment="1" applyProtection="1">
      <alignment horizontal="center" vertical="center"/>
      <protection hidden="1"/>
    </xf>
    <xf numFmtId="0" fontId="11" fillId="4" borderId="0" xfId="4" applyFont="1" applyFill="1" applyBorder="1" applyAlignment="1" applyProtection="1">
      <alignment horizontal="center" vertical="center"/>
      <protection hidden="1"/>
    </xf>
    <xf numFmtId="2" fontId="14" fillId="0" borderId="0" xfId="0" applyNumberFormat="1" applyFont="1" applyFill="1" applyBorder="1" applyAlignment="1" applyProtection="1">
      <alignment horizontal="center"/>
      <protection hidden="1"/>
    </xf>
    <xf numFmtId="1" fontId="2" fillId="8" borderId="8" xfId="0" applyNumberFormat="1" applyFont="1" applyFill="1" applyBorder="1" applyAlignment="1" applyProtection="1">
      <alignment horizontal="center"/>
      <protection locked="0" hidden="1"/>
    </xf>
    <xf numFmtId="1" fontId="2" fillId="8" borderId="7" xfId="0" applyNumberFormat="1" applyFont="1" applyFill="1" applyBorder="1" applyAlignment="1" applyProtection="1">
      <alignment horizontal="center"/>
      <protection locked="0" hidden="1"/>
    </xf>
    <xf numFmtId="164" fontId="2" fillId="3" borderId="7" xfId="0" applyNumberFormat="1" applyFont="1" applyFill="1" applyBorder="1" applyAlignment="1" applyProtection="1">
      <alignment horizont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17" fillId="0" borderId="0" xfId="5" applyFont="1" applyAlignment="1" applyProtection="1">
      <alignment horizontal="left"/>
      <protection locked="0" hidden="1"/>
    </xf>
  </cellXfs>
  <cellStyles count="6">
    <cellStyle name="Hyperlink" xfId="5" builtinId="8"/>
    <cellStyle name="Normal" xfId="0" builtinId="0"/>
    <cellStyle name="Percent" xfId="1" builtinId="5"/>
    <cellStyle name="Обычный 19" xfId="3"/>
    <cellStyle name="Обычный 2 2" xfId="2"/>
    <cellStyle name="Обычный 6" xfId="4"/>
  </cellStyles>
  <dxfs count="3"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colors>
    <mruColors>
      <color rgb="FF8AF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1131461</xdr:colOff>
      <xdr:row>0</xdr:row>
      <xdr:rowOff>0</xdr:rowOff>
    </xdr:from>
    <xdr:to>
      <xdr:col>2</xdr:col>
      <xdr:colOff>853554</xdr:colOff>
      <xdr:row>3</xdr:row>
      <xdr:rowOff>168088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061" y="0"/>
          <a:ext cx="2700820" cy="7361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205510</xdr:colOff>
      <xdr:row>14</xdr:row>
      <xdr:rowOff>153881</xdr:rowOff>
    </xdr:from>
    <xdr:to>
      <xdr:col>9</xdr:col>
      <xdr:colOff>624610</xdr:colOff>
      <xdr:row>16</xdr:row>
      <xdr:rowOff>129640</xdr:rowOff>
    </xdr:to>
    <xdr:sp macro="[0]!Макрос1" textlink="">
      <xdr:nvSpPr>
        <xdr:cNvPr id="2" name="Скругленный прямоугольник 1"/>
        <xdr:cNvSpPr/>
      </xdr:nvSpPr>
      <xdr:spPr>
        <a:xfrm>
          <a:off x="11025910" y="2886195"/>
          <a:ext cx="2748643" cy="36764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uk-UA" sz="1600" b="1"/>
            <a:t>Розрахунок графіку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ank.gov.ua/files/UIRD.xls" TargetMode="External"/><Relationship Id="rId1" Type="http://schemas.openxmlformats.org/officeDocument/2006/relationships/hyperlink" Target="https://www.otpbank.com.ua/privateclients/information/fidr-uird/?_gl=1*45of30*_ga*MTMyMjY5MzY5LjE1NDg4Mzc5OTY.*_ga_Q4M7V3ZDDW*MTYxMTEzNjE4Ni4xMi4wLjE2MTExMzYxODYuNjA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2:R186"/>
  <sheetViews>
    <sheetView showGridLines="0" tabSelected="1" zoomScale="70" zoomScaleNormal="70" workbookViewId="0">
      <selection activeCell="C20" sqref="C20:D20"/>
    </sheetView>
  </sheetViews>
  <sheetFormatPr defaultColWidth="8.85546875" defaultRowHeight="15" x14ac:dyDescent="0.25"/>
  <cols>
    <col min="1" max="1" width="8.85546875" style="5"/>
    <col min="2" max="2" width="43.28515625" style="5" customWidth="1"/>
    <col min="3" max="3" width="17.28515625" style="5" customWidth="1"/>
    <col min="4" max="4" width="18.7109375" style="5" customWidth="1"/>
    <col min="5" max="5" width="3" style="5" customWidth="1"/>
    <col min="6" max="6" width="57.140625" style="5" bestFit="1" customWidth="1"/>
    <col min="7" max="7" width="14" style="5" bestFit="1" customWidth="1"/>
    <col min="8" max="8" width="2.28515625" style="5" customWidth="1"/>
    <col min="9" max="9" width="33.85546875" style="5" bestFit="1" customWidth="1"/>
    <col min="10" max="10" width="16.42578125" style="5" bestFit="1" customWidth="1"/>
    <col min="11" max="11" width="3.7109375" style="5" customWidth="1"/>
    <col min="12" max="12" width="10.7109375" style="5" bestFit="1" customWidth="1"/>
    <col min="13" max="13" width="14.85546875" style="5" bestFit="1" customWidth="1"/>
    <col min="14" max="15" width="28.28515625" style="5" bestFit="1" customWidth="1"/>
    <col min="16" max="16" width="20.85546875" style="5" bestFit="1" customWidth="1"/>
    <col min="17" max="17" width="23.7109375" style="5" bestFit="1" customWidth="1"/>
    <col min="18" max="18" width="7.28515625" style="5" bestFit="1" customWidth="1"/>
    <col min="19" max="19" width="14.42578125" style="5" customWidth="1"/>
    <col min="20" max="20" width="8.85546875" style="5" customWidth="1"/>
    <col min="21" max="16384" width="8.85546875" style="5"/>
  </cols>
  <sheetData>
    <row r="2" spans="2:18" ht="15.6" customHeight="1" x14ac:dyDescent="0.25">
      <c r="E2"/>
      <c r="F2" s="45" t="s">
        <v>4</v>
      </c>
      <c r="G2" s="45"/>
      <c r="H2" s="45"/>
      <c r="I2" s="45"/>
      <c r="J2" s="45"/>
      <c r="L2" s="42" t="s">
        <v>25</v>
      </c>
      <c r="M2" s="42"/>
      <c r="N2" s="42"/>
      <c r="O2" s="42"/>
      <c r="P2" s="42"/>
      <c r="Q2" s="42"/>
    </row>
    <row r="3" spans="2:18" ht="15.75" x14ac:dyDescent="0.25">
      <c r="E3"/>
      <c r="F3" s="46">
        <f ca="1">TODAY()</f>
        <v>44610</v>
      </c>
      <c r="G3" s="46"/>
      <c r="H3" s="46"/>
      <c r="I3" s="46"/>
      <c r="J3" s="46"/>
      <c r="L3" s="43"/>
      <c r="M3" s="43"/>
      <c r="N3" s="43"/>
      <c r="O3" s="43"/>
      <c r="P3" s="43"/>
      <c r="Q3" s="43"/>
    </row>
    <row r="4" spans="2:18" ht="15.75" thickBot="1" x14ac:dyDescent="0.3">
      <c r="L4" s="22">
        <f>PMT($M$4,$C$14,-C12)</f>
        <v>38382.430809345358</v>
      </c>
      <c r="M4" s="33">
        <v>1.1012404724422083E-2</v>
      </c>
      <c r="N4" s="34">
        <f ca="1">INDIRECT("Калькулятор!Q"&amp;6+C14)</f>
        <v>-3.5310222301632166E-8</v>
      </c>
    </row>
    <row r="5" spans="2:18" ht="15.75" customHeight="1" thickBot="1" x14ac:dyDescent="0.3">
      <c r="B5" s="49" t="s">
        <v>27</v>
      </c>
      <c r="C5" s="49"/>
      <c r="D5" s="49"/>
      <c r="F5" s="49" t="s">
        <v>38</v>
      </c>
      <c r="G5" s="49"/>
      <c r="I5" s="47" t="s">
        <v>28</v>
      </c>
      <c r="J5" s="47"/>
      <c r="K5" s="6"/>
      <c r="L5" s="18" t="s">
        <v>20</v>
      </c>
      <c r="M5" s="18" t="s">
        <v>21</v>
      </c>
      <c r="N5" s="18" t="s">
        <v>22</v>
      </c>
      <c r="O5" s="18" t="s">
        <v>37</v>
      </c>
      <c r="P5" s="19" t="s">
        <v>23</v>
      </c>
      <c r="Q5" s="18" t="s">
        <v>24</v>
      </c>
    </row>
    <row r="6" spans="2:18" ht="15.75" customHeight="1" x14ac:dyDescent="0.25">
      <c r="B6" s="50"/>
      <c r="C6" s="50"/>
      <c r="D6" s="50"/>
      <c r="F6" s="50"/>
      <c r="G6" s="50"/>
      <c r="I6" s="48"/>
      <c r="J6" s="48"/>
      <c r="K6" s="6"/>
      <c r="L6" s="1">
        <v>0</v>
      </c>
      <c r="M6" s="2">
        <f ca="1">TODAY()</f>
        <v>44610</v>
      </c>
      <c r="N6" s="16">
        <f ca="1">SUM(N7:N366)</f>
        <v>3000000.0000000359</v>
      </c>
      <c r="O6" s="16">
        <f ca="1">SUM(O7:O366)</f>
        <v>3908837.5456821332</v>
      </c>
      <c r="P6" s="17">
        <f>-C12+(C8-C10)*C23+G8+G10+G12+G14+G16</f>
        <v>-2902085.71423</v>
      </c>
      <c r="Q6" s="17">
        <f>C12</f>
        <v>3000000</v>
      </c>
    </row>
    <row r="7" spans="2:18" ht="15" customHeight="1" x14ac:dyDescent="0.25">
      <c r="I7" s="7"/>
      <c r="J7" s="8"/>
      <c r="K7" s="26">
        <v>1</v>
      </c>
      <c r="L7" s="3">
        <f t="shared" ref="L7:L38" si="0">IF(K7&gt;$C$14,"",K7)</f>
        <v>1</v>
      </c>
      <c r="M7" s="23">
        <f t="shared" ref="M7:M38" ca="1" si="1">IF(L7&lt;=$C$14,EDATE($M$6,L7),"")</f>
        <v>44638</v>
      </c>
      <c r="N7" s="14">
        <f ca="1">IF(M7="","",
IF($C$26="Стандарт",$C$12/$C$14,P7-O7))</f>
        <v>4657.4308093453583</v>
      </c>
      <c r="O7" s="14">
        <f t="shared" ref="O7:O38" si="2">IF(L7&lt;=$C$14,Q6*R7/12,"")</f>
        <v>33725</v>
      </c>
      <c r="P7" s="15">
        <f ca="1">IF(M7="","",
IF($C$26="Стандарт",N7+O7,$L$4
))</f>
        <v>38382.430809345358</v>
      </c>
      <c r="Q7" s="24">
        <f t="shared" ref="Q7:Q38" ca="1" si="3">IF(M7="","",Q6-N7)</f>
        <v>2995342.5691906544</v>
      </c>
      <c r="R7" s="9">
        <f t="shared" ref="R7:R38" si="4">IF(L7&gt;$C$14,"",
IF(L7&gt;$C$34,$C$18,$C$16))</f>
        <v>0.13489999999999999</v>
      </c>
    </row>
    <row r="8" spans="2:18" ht="15.75" x14ac:dyDescent="0.25">
      <c r="B8" s="4" t="s">
        <v>8</v>
      </c>
      <c r="C8" s="60">
        <v>4285714.29</v>
      </c>
      <c r="D8" s="61"/>
      <c r="F8" s="4" t="s">
        <v>14</v>
      </c>
      <c r="G8" s="40">
        <f>0.3%*C8</f>
        <v>12857.14287</v>
      </c>
      <c r="I8" s="21" t="s">
        <v>26</v>
      </c>
      <c r="J8" s="41">
        <f ca="1">P7</f>
        <v>38382.430809345358</v>
      </c>
      <c r="K8" s="27">
        <v>2</v>
      </c>
      <c r="L8" s="3">
        <f t="shared" si="0"/>
        <v>2</v>
      </c>
      <c r="M8" s="23">
        <f t="shared" ca="1" si="1"/>
        <v>44669</v>
      </c>
      <c r="N8" s="14">
        <f t="shared" ref="N8:N39" ca="1" si="5">IF(M8="","",
IF($C$26="Стандарт",$C$12/$C$14,P8-IF(MOD(L8,12)=1,$G$8+$G$10,0)-O8))</f>
        <v>4709.7880940270843</v>
      </c>
      <c r="O8" s="14">
        <f t="shared" ca="1" si="2"/>
        <v>33672.642715318274</v>
      </c>
      <c r="P8" s="15">
        <f t="shared" ref="P8:P39" ca="1" si="6">IF(M8="","",
IF($C$26="Стандарт",N8+O8+IF(MOD(L8,12)=1,$G$8+$G$10,0),$L$4+IF(MOD(L8,12)=1,$G$8+$G$10,0)
))</f>
        <v>38382.430809345358</v>
      </c>
      <c r="Q8" s="24">
        <f t="shared" ca="1" si="3"/>
        <v>2990632.7810966275</v>
      </c>
      <c r="R8" s="9">
        <f t="shared" si="4"/>
        <v>0.13489999999999999</v>
      </c>
    </row>
    <row r="9" spans="2:18" ht="15.75" x14ac:dyDescent="0.25">
      <c r="B9" s="7"/>
      <c r="C9" s="8"/>
      <c r="D9" s="8"/>
      <c r="I9" s="7"/>
      <c r="J9" s="8"/>
      <c r="K9" s="26">
        <v>3</v>
      </c>
      <c r="L9" s="3">
        <f t="shared" si="0"/>
        <v>3</v>
      </c>
      <c r="M9" s="23">
        <f t="shared" ca="1" si="1"/>
        <v>44699</v>
      </c>
      <c r="N9" s="14">
        <f t="shared" ca="1" si="5"/>
        <v>4762.7339618507758</v>
      </c>
      <c r="O9" s="14">
        <f t="shared" ca="1" si="2"/>
        <v>33619.696847494582</v>
      </c>
      <c r="P9" s="15">
        <f t="shared" ca="1" si="6"/>
        <v>38382.430809345358</v>
      </c>
      <c r="Q9" s="24">
        <f t="shared" ca="1" si="3"/>
        <v>2985870.0471347766</v>
      </c>
      <c r="R9" s="9">
        <f t="shared" si="4"/>
        <v>0.13489999999999999</v>
      </c>
    </row>
    <row r="10" spans="2:18" ht="15.75" x14ac:dyDescent="0.25">
      <c r="B10" s="4" t="s">
        <v>34</v>
      </c>
      <c r="C10" s="39">
        <v>1285714.29</v>
      </c>
      <c r="D10" s="13">
        <f>C10/C8</f>
        <v>0.30000000069999999</v>
      </c>
      <c r="F10" s="4" t="s">
        <v>15</v>
      </c>
      <c r="G10" s="40">
        <f>0%*C12</f>
        <v>0</v>
      </c>
      <c r="I10" s="21" t="s">
        <v>5</v>
      </c>
      <c r="J10" s="41">
        <f ca="1">O6+C23*(C8-C10)+G8*C14/12+G10+G12+G14</f>
        <v>4143894.6887321332</v>
      </c>
      <c r="K10" s="26">
        <v>4</v>
      </c>
      <c r="L10" s="3">
        <f t="shared" si="0"/>
        <v>4</v>
      </c>
      <c r="M10" s="23">
        <f t="shared" ca="1" si="1"/>
        <v>44730</v>
      </c>
      <c r="N10" s="14">
        <f t="shared" ca="1" si="5"/>
        <v>4816.2750294719153</v>
      </c>
      <c r="O10" s="14">
        <f t="shared" ca="1" si="2"/>
        <v>33566.155779873443</v>
      </c>
      <c r="P10" s="15">
        <f t="shared" ca="1" si="6"/>
        <v>38382.430809345358</v>
      </c>
      <c r="Q10" s="24">
        <f t="shared" ca="1" si="3"/>
        <v>2981053.7721053045</v>
      </c>
      <c r="R10" s="9">
        <f t="shared" si="4"/>
        <v>0.13489999999999999</v>
      </c>
    </row>
    <row r="11" spans="2:18" ht="15.75" x14ac:dyDescent="0.25">
      <c r="B11" s="35" t="str">
        <f>IF(C11="","","Помилка:")</f>
        <v/>
      </c>
      <c r="C11" s="70" t="str">
        <f>IF(D10&lt;30%,"Некоректний мінімальний аванс","")</f>
        <v/>
      </c>
      <c r="D11" s="70"/>
      <c r="I11" s="7"/>
      <c r="J11" s="8"/>
      <c r="K11" s="26">
        <v>5</v>
      </c>
      <c r="L11" s="3">
        <f t="shared" si="0"/>
        <v>5</v>
      </c>
      <c r="M11" s="23">
        <f t="shared" ca="1" si="1"/>
        <v>44760</v>
      </c>
      <c r="N11" s="14">
        <f t="shared" ca="1" si="5"/>
        <v>4870.4179879282237</v>
      </c>
      <c r="O11" s="14">
        <f t="shared" ca="1" si="2"/>
        <v>33512.012821417135</v>
      </c>
      <c r="P11" s="15">
        <f t="shared" ca="1" si="6"/>
        <v>38382.430809345358</v>
      </c>
      <c r="Q11" s="24">
        <f t="shared" ca="1" si="3"/>
        <v>2976183.3541173763</v>
      </c>
      <c r="R11" s="9">
        <f t="shared" si="4"/>
        <v>0.13489999999999999</v>
      </c>
    </row>
    <row r="12" spans="2:18" ht="15.75" x14ac:dyDescent="0.25">
      <c r="B12" s="4" t="s">
        <v>1</v>
      </c>
      <c r="C12" s="69">
        <f>C8-C10+IF(D23="В кредит",C23*(C8-C10),0)</f>
        <v>3000000</v>
      </c>
      <c r="D12" s="69"/>
      <c r="F12" s="4" t="s">
        <v>16</v>
      </c>
      <c r="G12" s="40">
        <v>2500</v>
      </c>
      <c r="I12" s="21" t="s">
        <v>6</v>
      </c>
      <c r="J12" s="41">
        <f ca="1">C12+G8*C14/12+G10+G12+G14+O6+IF(D23="В кредит",0,C23*(C8-C10))</f>
        <v>7143894.6887321332</v>
      </c>
      <c r="K12" s="28">
        <v>6</v>
      </c>
      <c r="L12" s="3">
        <f t="shared" si="0"/>
        <v>6</v>
      </c>
      <c r="M12" s="23">
        <f t="shared" ca="1" si="1"/>
        <v>44791</v>
      </c>
      <c r="N12" s="14">
        <f t="shared" ca="1" si="5"/>
        <v>4925.169603475857</v>
      </c>
      <c r="O12" s="14">
        <f t="shared" ca="1" si="2"/>
        <v>33457.261205869501</v>
      </c>
      <c r="P12" s="15">
        <f t="shared" ca="1" si="6"/>
        <v>38382.430809345358</v>
      </c>
      <c r="Q12" s="24">
        <f t="shared" ca="1" si="3"/>
        <v>2971258.1845139004</v>
      </c>
      <c r="R12" s="9">
        <f t="shared" si="4"/>
        <v>0.13489999999999999</v>
      </c>
    </row>
    <row r="13" spans="2:18" ht="15.75" x14ac:dyDescent="0.25">
      <c r="B13" s="35" t="str">
        <f>IF(C13="","","Помилка:")</f>
        <v/>
      </c>
      <c r="C13" s="70" t="str">
        <f>IF(OR(C12&lt;300000,C12&gt;3000000),"Сума кредиту від 300 000 до 3 000 000 грн","")</f>
        <v/>
      </c>
      <c r="D13" s="70"/>
      <c r="I13" s="7"/>
      <c r="J13" s="8"/>
      <c r="K13" s="26">
        <v>7</v>
      </c>
      <c r="L13" s="3">
        <f t="shared" si="0"/>
        <v>7</v>
      </c>
      <c r="M13" s="23">
        <f t="shared" ca="1" si="1"/>
        <v>44822</v>
      </c>
      <c r="N13" s="14">
        <f t="shared" ca="1" si="5"/>
        <v>4980.5367184349307</v>
      </c>
      <c r="O13" s="14">
        <f t="shared" ca="1" si="2"/>
        <v>33401.894090910428</v>
      </c>
      <c r="P13" s="15">
        <f t="shared" ca="1" si="6"/>
        <v>38382.430809345358</v>
      </c>
      <c r="Q13" s="24">
        <f t="shared" ca="1" si="3"/>
        <v>2966277.6477954653</v>
      </c>
      <c r="R13" s="9">
        <f t="shared" si="4"/>
        <v>0.13489999999999999</v>
      </c>
    </row>
    <row r="14" spans="2:18" ht="15.75" x14ac:dyDescent="0.25">
      <c r="B14" s="4" t="s">
        <v>2</v>
      </c>
      <c r="C14" s="67">
        <v>180</v>
      </c>
      <c r="D14" s="68"/>
      <c r="F14" s="4" t="s">
        <v>17</v>
      </c>
      <c r="G14" s="40">
        <v>10000</v>
      </c>
      <c r="I14" s="21" t="s">
        <v>3</v>
      </c>
      <c r="J14" s="20">
        <f ca="1">XIRR(P6:OFFSET(P6,C14,0),M6:OFFSET(M6,C14,0))</f>
        <v>0.15345804095268253</v>
      </c>
      <c r="K14" s="28">
        <v>8</v>
      </c>
      <c r="L14" s="3">
        <f t="shared" si="0"/>
        <v>8</v>
      </c>
      <c r="M14" s="23">
        <f t="shared" ca="1" si="1"/>
        <v>44852</v>
      </c>
      <c r="N14" s="14">
        <f t="shared" ca="1" si="5"/>
        <v>5036.5262520446704</v>
      </c>
      <c r="O14" s="14">
        <f t="shared" ca="1" si="2"/>
        <v>33345.904557300688</v>
      </c>
      <c r="P14" s="15">
        <f t="shared" ca="1" si="6"/>
        <v>38382.430809345358</v>
      </c>
      <c r="Q14" s="24">
        <f t="shared" ca="1" si="3"/>
        <v>2961241.1215434205</v>
      </c>
      <c r="R14" s="9">
        <f t="shared" si="4"/>
        <v>0.13489999999999999</v>
      </c>
    </row>
    <row r="15" spans="2:18" ht="15.75" x14ac:dyDescent="0.25">
      <c r="B15" s="7"/>
      <c r="C15" s="8"/>
      <c r="D15" s="8"/>
      <c r="K15" s="26">
        <v>9</v>
      </c>
      <c r="L15" s="3">
        <f t="shared" si="0"/>
        <v>9</v>
      </c>
      <c r="M15" s="23">
        <f t="shared" ca="1" si="1"/>
        <v>44883</v>
      </c>
      <c r="N15" s="14">
        <f t="shared" ca="1" si="5"/>
        <v>5093.1452013280723</v>
      </c>
      <c r="O15" s="14">
        <f t="shared" ca="1" si="2"/>
        <v>33289.285608017286</v>
      </c>
      <c r="P15" s="15">
        <f t="shared" ca="1" si="6"/>
        <v>38382.430809345358</v>
      </c>
      <c r="Q15" s="24">
        <f t="shared" ca="1" si="3"/>
        <v>2956147.9763420923</v>
      </c>
      <c r="R15" s="9">
        <f t="shared" si="4"/>
        <v>0.13489999999999999</v>
      </c>
    </row>
    <row r="16" spans="2:18" ht="15.75" x14ac:dyDescent="0.25">
      <c r="B16" s="4" t="s">
        <v>9</v>
      </c>
      <c r="C16" s="52">
        <v>0.13489999999999999</v>
      </c>
      <c r="D16" s="53"/>
      <c r="F16" s="4" t="s">
        <v>18</v>
      </c>
      <c r="G16" s="40">
        <f>1%*C8</f>
        <v>42857.142899999999</v>
      </c>
      <c r="K16" s="28">
        <v>10</v>
      </c>
      <c r="L16" s="3">
        <f t="shared" si="0"/>
        <v>10</v>
      </c>
      <c r="M16" s="23">
        <f t="shared" ca="1" si="1"/>
        <v>44913</v>
      </c>
      <c r="N16" s="14">
        <f t="shared" ca="1" si="5"/>
        <v>5150.4006419663419</v>
      </c>
      <c r="O16" s="14">
        <f t="shared" ca="1" si="2"/>
        <v>33232.030167379016</v>
      </c>
      <c r="P16" s="15">
        <f t="shared" ca="1" si="6"/>
        <v>38382.430809345358</v>
      </c>
      <c r="Q16" s="24">
        <f t="shared" ca="1" si="3"/>
        <v>2950997.5757001261</v>
      </c>
      <c r="R16" s="9">
        <f t="shared" si="4"/>
        <v>0.13489999999999999</v>
      </c>
    </row>
    <row r="17" spans="2:18" ht="15.75" x14ac:dyDescent="0.25">
      <c r="K17" s="26">
        <v>11</v>
      </c>
      <c r="L17" s="3">
        <f t="shared" si="0"/>
        <v>11</v>
      </c>
      <c r="M17" s="23">
        <f t="shared" ca="1" si="1"/>
        <v>44944</v>
      </c>
      <c r="N17" s="14">
        <f t="shared" ca="1" si="5"/>
        <v>5208.2997291831052</v>
      </c>
      <c r="O17" s="14">
        <f t="shared" ca="1" si="2"/>
        <v>33174.131080162253</v>
      </c>
      <c r="P17" s="15">
        <f t="shared" ca="1" si="6"/>
        <v>38382.430809345358</v>
      </c>
      <c r="Q17" s="24">
        <f t="shared" ca="1" si="3"/>
        <v>2945789.2759709428</v>
      </c>
      <c r="R17" s="9">
        <f t="shared" si="4"/>
        <v>0.13489999999999999</v>
      </c>
    </row>
    <row r="18" spans="2:18" ht="15" customHeight="1" x14ac:dyDescent="0.25">
      <c r="B18" s="11" t="s">
        <v>12</v>
      </c>
      <c r="C18" s="58">
        <f>C19+C20</f>
        <v>0.1298</v>
      </c>
      <c r="D18" s="59"/>
      <c r="F18"/>
      <c r="G18"/>
      <c r="I18" s="44" t="s">
        <v>35</v>
      </c>
      <c r="J18" s="44"/>
      <c r="K18" s="26">
        <v>12</v>
      </c>
      <c r="L18" s="3">
        <f t="shared" si="0"/>
        <v>12</v>
      </c>
      <c r="M18" s="23">
        <f t="shared" ca="1" si="1"/>
        <v>44975</v>
      </c>
      <c r="N18" s="14">
        <f t="shared" ca="1" si="5"/>
        <v>5266.8496986386817</v>
      </c>
      <c r="O18" s="14">
        <f t="shared" ca="1" si="2"/>
        <v>33115.581110706677</v>
      </c>
      <c r="P18" s="15">
        <f t="shared" ca="1" si="6"/>
        <v>38382.430809345358</v>
      </c>
      <c r="Q18" s="24">
        <f t="shared" ca="1" si="3"/>
        <v>2940522.4262723043</v>
      </c>
      <c r="R18" s="9">
        <f t="shared" si="4"/>
        <v>0.13489999999999999</v>
      </c>
    </row>
    <row r="19" spans="2:18" ht="15.75" x14ac:dyDescent="0.25">
      <c r="B19" s="12" t="s">
        <v>11</v>
      </c>
      <c r="C19" s="56">
        <v>8.9800000000000005E-2</v>
      </c>
      <c r="D19" s="57"/>
      <c r="K19" s="26">
        <v>13</v>
      </c>
      <c r="L19" s="3">
        <f t="shared" si="0"/>
        <v>13</v>
      </c>
      <c r="M19" s="23">
        <f t="shared" ca="1" si="1"/>
        <v>45003</v>
      </c>
      <c r="N19" s="14">
        <f t="shared" ca="1" si="5"/>
        <v>5326.0578673342025</v>
      </c>
      <c r="O19" s="14">
        <f t="shared" ca="1" si="2"/>
        <v>33056.372942011156</v>
      </c>
      <c r="P19" s="15">
        <f ca="1">IF(M19="","",
IF($C$26="Стандарт",N19+O19+IF(MOD(L19,12)=1,$G$8+$G$10,0),$L$4+IF(MOD(L19,12)=1,$G$8+$G$10,0)
))</f>
        <v>51239.573679345354</v>
      </c>
      <c r="Q19" s="24">
        <f t="shared" ca="1" si="3"/>
        <v>2935196.36840497</v>
      </c>
      <c r="R19" s="9">
        <f t="shared" si="4"/>
        <v>0.13489999999999999</v>
      </c>
    </row>
    <row r="20" spans="2:18" ht="15.75" x14ac:dyDescent="0.25">
      <c r="B20" s="12" t="s">
        <v>10</v>
      </c>
      <c r="C20" s="54">
        <v>0.04</v>
      </c>
      <c r="D20" s="55"/>
      <c r="K20" s="26">
        <v>14</v>
      </c>
      <c r="L20" s="3">
        <f t="shared" si="0"/>
        <v>14</v>
      </c>
      <c r="M20" s="23">
        <f t="shared" ca="1" si="1"/>
        <v>45034</v>
      </c>
      <c r="N20" s="14">
        <f t="shared" ca="1" si="5"/>
        <v>5385.9316345261541</v>
      </c>
      <c r="O20" s="14">
        <f t="shared" ca="1" si="2"/>
        <v>32996.499174819204</v>
      </c>
      <c r="P20" s="15">
        <f t="shared" ca="1" si="6"/>
        <v>38382.430809345358</v>
      </c>
      <c r="Q20" s="24">
        <f t="shared" ca="1" si="3"/>
        <v>2929810.4367704438</v>
      </c>
      <c r="R20" s="9">
        <f t="shared" si="4"/>
        <v>0.13489999999999999</v>
      </c>
    </row>
    <row r="21" spans="2:18" ht="15.75" x14ac:dyDescent="0.25">
      <c r="B21" s="71" t="s">
        <v>36</v>
      </c>
      <c r="C21" s="71"/>
      <c r="D21" s="71"/>
      <c r="E21" s="71"/>
      <c r="F21" s="71"/>
      <c r="K21" s="26">
        <v>15</v>
      </c>
      <c r="L21" s="3">
        <f t="shared" si="0"/>
        <v>15</v>
      </c>
      <c r="M21" s="23">
        <f t="shared" ca="1" si="1"/>
        <v>45064</v>
      </c>
      <c r="N21" s="14">
        <f t="shared" ca="1" si="5"/>
        <v>5446.4784826509567</v>
      </c>
      <c r="O21" s="14">
        <f t="shared" ca="1" si="2"/>
        <v>32935.952326694402</v>
      </c>
      <c r="P21" s="15">
        <f t="shared" ca="1" si="6"/>
        <v>38382.430809345358</v>
      </c>
      <c r="Q21" s="24">
        <f t="shared" ca="1" si="3"/>
        <v>2924363.9582877927</v>
      </c>
      <c r="R21" s="9">
        <f t="shared" si="4"/>
        <v>0.13489999999999999</v>
      </c>
    </row>
    <row r="22" spans="2:18" ht="15.75" x14ac:dyDescent="0.25">
      <c r="K22" s="26">
        <v>16</v>
      </c>
      <c r="L22" s="3">
        <f t="shared" si="0"/>
        <v>16</v>
      </c>
      <c r="M22" s="23">
        <f t="shared" ca="1" si="1"/>
        <v>45095</v>
      </c>
      <c r="N22" s="14">
        <f t="shared" ca="1" si="5"/>
        <v>5507.7059782600918</v>
      </c>
      <c r="O22" s="14">
        <f t="shared" ca="1" si="2"/>
        <v>32874.724831085266</v>
      </c>
      <c r="P22" s="15">
        <f t="shared" ca="1" si="6"/>
        <v>38382.430809345358</v>
      </c>
      <c r="Q22" s="24">
        <f t="shared" ca="1" si="3"/>
        <v>2918856.2523095328</v>
      </c>
      <c r="R22" s="9">
        <f t="shared" si="4"/>
        <v>0.13489999999999999</v>
      </c>
    </row>
    <row r="23" spans="2:18" ht="15.75" x14ac:dyDescent="0.25">
      <c r="B23" s="64" t="s">
        <v>0</v>
      </c>
      <c r="C23" s="37">
        <v>9.9000000000000008E-3</v>
      </c>
      <c r="D23" s="38" t="s">
        <v>19</v>
      </c>
      <c r="K23" s="26">
        <v>17</v>
      </c>
      <c r="L23" s="3">
        <f t="shared" si="0"/>
        <v>17</v>
      </c>
      <c r="M23" s="23">
        <f t="shared" ca="1" si="1"/>
        <v>45125</v>
      </c>
      <c r="N23" s="14">
        <f t="shared" ca="1" si="5"/>
        <v>5569.6217729657001</v>
      </c>
      <c r="O23" s="14">
        <f t="shared" ca="1" si="2"/>
        <v>32812.809036379658</v>
      </c>
      <c r="P23" s="15">
        <f t="shared" ca="1" si="6"/>
        <v>38382.430809345358</v>
      </c>
      <c r="Q23" s="24">
        <f t="shared" ca="1" si="3"/>
        <v>2913286.630536567</v>
      </c>
      <c r="R23" s="9">
        <f t="shared" si="4"/>
        <v>0.13489999999999999</v>
      </c>
    </row>
    <row r="24" spans="2:18" ht="15.75" x14ac:dyDescent="0.25">
      <c r="B24" s="65"/>
      <c r="C24" s="62">
        <f>C23*(C8-C10)</f>
        <v>29700.000000000004</v>
      </c>
      <c r="D24" s="63"/>
      <c r="I24" s="25"/>
      <c r="K24" s="26">
        <v>18</v>
      </c>
      <c r="L24" s="3">
        <f t="shared" si="0"/>
        <v>18</v>
      </c>
      <c r="M24" s="23">
        <f t="shared" ca="1" si="1"/>
        <v>45156</v>
      </c>
      <c r="N24" s="14">
        <f t="shared" ca="1" si="5"/>
        <v>5632.2336043967844</v>
      </c>
      <c r="O24" s="14">
        <f t="shared" ca="1" si="2"/>
        <v>32750.197204948574</v>
      </c>
      <c r="P24" s="15">
        <f t="shared" ca="1" si="6"/>
        <v>38382.430809345358</v>
      </c>
      <c r="Q24" s="24">
        <f t="shared" ca="1" si="3"/>
        <v>2907654.3969321703</v>
      </c>
      <c r="R24" s="9">
        <f t="shared" si="4"/>
        <v>0.13489999999999999</v>
      </c>
    </row>
    <row r="25" spans="2:18" ht="15.75" x14ac:dyDescent="0.25">
      <c r="E25" s="8"/>
      <c r="K25" s="26">
        <v>19</v>
      </c>
      <c r="L25" s="3">
        <f t="shared" si="0"/>
        <v>19</v>
      </c>
      <c r="M25" s="23">
        <f t="shared" ca="1" si="1"/>
        <v>45187</v>
      </c>
      <c r="N25" s="14">
        <f t="shared" ca="1" si="5"/>
        <v>5695.5492971662134</v>
      </c>
      <c r="O25" s="14">
        <f t="shared" ca="1" si="2"/>
        <v>32686.881512179145</v>
      </c>
      <c r="P25" s="15">
        <f t="shared" ca="1" si="6"/>
        <v>38382.430809345358</v>
      </c>
      <c r="Q25" s="24">
        <f t="shared" ca="1" si="3"/>
        <v>2901958.8476350042</v>
      </c>
      <c r="R25" s="9">
        <f t="shared" si="4"/>
        <v>0.13489999999999999</v>
      </c>
    </row>
    <row r="26" spans="2:18" ht="15.75" x14ac:dyDescent="0.25">
      <c r="B26" s="4" t="s">
        <v>13</v>
      </c>
      <c r="C26" s="51" t="s">
        <v>39</v>
      </c>
      <c r="D26" s="51"/>
      <c r="K26" s="26">
        <v>20</v>
      </c>
      <c r="L26" s="3">
        <f t="shared" si="0"/>
        <v>20</v>
      </c>
      <c r="M26" s="23">
        <f t="shared" ca="1" si="1"/>
        <v>45217</v>
      </c>
      <c r="N26" s="14">
        <f t="shared" ca="1" si="5"/>
        <v>5759.5767638485231</v>
      </c>
      <c r="O26" s="14">
        <f t="shared" ca="1" si="2"/>
        <v>32622.854045496835</v>
      </c>
      <c r="P26" s="15">
        <f t="shared" ca="1" si="6"/>
        <v>38382.430809345358</v>
      </c>
      <c r="Q26" s="24">
        <f t="shared" ca="1" si="3"/>
        <v>2896199.2708711559</v>
      </c>
      <c r="R26" s="9">
        <f t="shared" si="4"/>
        <v>0.13489999999999999</v>
      </c>
    </row>
    <row r="27" spans="2:18" ht="15.75" x14ac:dyDescent="0.25">
      <c r="K27" s="26">
        <v>21</v>
      </c>
      <c r="L27" s="3">
        <f t="shared" si="0"/>
        <v>21</v>
      </c>
      <c r="M27" s="23">
        <f t="shared" ca="1" si="1"/>
        <v>45248</v>
      </c>
      <c r="N27" s="14">
        <f t="shared" ca="1" si="5"/>
        <v>5824.3240059687814</v>
      </c>
      <c r="O27" s="14">
        <f t="shared" ca="1" si="2"/>
        <v>32558.106803376577</v>
      </c>
      <c r="P27" s="15">
        <f t="shared" ca="1" si="6"/>
        <v>38382.430809345358</v>
      </c>
      <c r="Q27" s="24">
        <f t="shared" ca="1" si="3"/>
        <v>2890374.946865187</v>
      </c>
      <c r="R27" s="9">
        <f t="shared" si="4"/>
        <v>0.13489999999999999</v>
      </c>
    </row>
    <row r="28" spans="2:18" ht="15.75" x14ac:dyDescent="0.25">
      <c r="B28" s="10" t="s">
        <v>30</v>
      </c>
      <c r="D28" s="30"/>
      <c r="K28" s="26">
        <v>22</v>
      </c>
      <c r="L28" s="3">
        <f t="shared" si="0"/>
        <v>22</v>
      </c>
      <c r="M28" s="23">
        <f t="shared" ca="1" si="1"/>
        <v>45278</v>
      </c>
      <c r="N28" s="14">
        <f t="shared" ca="1" si="5"/>
        <v>5889.7991150025482</v>
      </c>
      <c r="O28" s="14">
        <f t="shared" ca="1" si="2"/>
        <v>32492.63169434281</v>
      </c>
      <c r="P28" s="15">
        <f t="shared" ca="1" si="6"/>
        <v>38382.430809345358</v>
      </c>
      <c r="Q28" s="24">
        <f t="shared" ca="1" si="3"/>
        <v>2884485.1477501844</v>
      </c>
      <c r="R28" s="9">
        <f t="shared" si="4"/>
        <v>0.13489999999999999</v>
      </c>
    </row>
    <row r="29" spans="2:18" ht="15.75" x14ac:dyDescent="0.25">
      <c r="B29" s="31" t="s">
        <v>32</v>
      </c>
      <c r="K29" s="26">
        <v>23</v>
      </c>
      <c r="L29" s="3">
        <f t="shared" si="0"/>
        <v>23</v>
      </c>
      <c r="M29" s="23">
        <f t="shared" ca="1" si="1"/>
        <v>45309</v>
      </c>
      <c r="N29" s="14">
        <f t="shared" ca="1" si="5"/>
        <v>5956.0102733870335</v>
      </c>
      <c r="O29" s="14">
        <f t="shared" ca="1" si="2"/>
        <v>32426.420535958325</v>
      </c>
      <c r="P29" s="15">
        <f t="shared" ca="1" si="6"/>
        <v>38382.430809345358</v>
      </c>
      <c r="Q29" s="24">
        <f t="shared" ca="1" si="3"/>
        <v>2878529.1374767972</v>
      </c>
      <c r="R29" s="9">
        <f t="shared" si="4"/>
        <v>0.13489999999999999</v>
      </c>
    </row>
    <row r="30" spans="2:18" ht="15.75" x14ac:dyDescent="0.25">
      <c r="B30" s="32" t="s">
        <v>33</v>
      </c>
      <c r="K30" s="26">
        <v>24</v>
      </c>
      <c r="L30" s="3">
        <f t="shared" si="0"/>
        <v>24</v>
      </c>
      <c r="M30" s="23">
        <f t="shared" ca="1" si="1"/>
        <v>45340</v>
      </c>
      <c r="N30" s="14">
        <f t="shared" ca="1" si="5"/>
        <v>6022.965755543697</v>
      </c>
      <c r="O30" s="14">
        <f t="shared" ca="1" si="2"/>
        <v>32359.465053801661</v>
      </c>
      <c r="P30" s="15">
        <f t="shared" ca="1" si="6"/>
        <v>38382.430809345358</v>
      </c>
      <c r="Q30" s="24">
        <f t="shared" ca="1" si="3"/>
        <v>2872506.1717212535</v>
      </c>
      <c r="R30" s="9">
        <f t="shared" si="4"/>
        <v>0.13489999999999999</v>
      </c>
    </row>
    <row r="31" spans="2:18" ht="15.75" x14ac:dyDescent="0.25">
      <c r="B31" s="31" t="s">
        <v>31</v>
      </c>
      <c r="K31" s="26">
        <v>25</v>
      </c>
      <c r="L31" s="3">
        <f t="shared" si="0"/>
        <v>25</v>
      </c>
      <c r="M31" s="23">
        <f t="shared" ca="1" si="1"/>
        <v>45369</v>
      </c>
      <c r="N31" s="14">
        <f t="shared" ca="1" si="5"/>
        <v>6090.673928912267</v>
      </c>
      <c r="O31" s="14">
        <f t="shared" ca="1" si="2"/>
        <v>32291.756880433091</v>
      </c>
      <c r="P31" s="15">
        <f ca="1">IF(M31="","",
IF($C$26="Стандарт",N31+O31+IF(MOD(L31,12)=1,$G$8+$G$10,0),$L$4+IF(MOD(L31,12)=1,$G$8+$G$10,0)
))</f>
        <v>51239.573679345354</v>
      </c>
      <c r="Q31" s="24">
        <f t="shared" ca="1" si="3"/>
        <v>2866415.4977923413</v>
      </c>
      <c r="R31" s="9">
        <f t="shared" si="4"/>
        <v>0.13489999999999999</v>
      </c>
    </row>
    <row r="32" spans="2:18" ht="15.75" x14ac:dyDescent="0.25">
      <c r="K32" s="29">
        <v>26</v>
      </c>
      <c r="L32" s="3">
        <f t="shared" si="0"/>
        <v>26</v>
      </c>
      <c r="M32" s="23">
        <f t="shared" ca="1" si="1"/>
        <v>45400</v>
      </c>
      <c r="N32" s="14">
        <f t="shared" ca="1" si="5"/>
        <v>6159.1432549964557</v>
      </c>
      <c r="O32" s="14">
        <f t="shared" ca="1" si="2"/>
        <v>32223.287554348903</v>
      </c>
      <c r="P32" s="15">
        <f t="shared" ca="1" si="6"/>
        <v>38382.430809345358</v>
      </c>
      <c r="Q32" s="24">
        <f t="shared" ca="1" si="3"/>
        <v>2860256.354537345</v>
      </c>
      <c r="R32" s="9">
        <f t="shared" si="4"/>
        <v>0.13489999999999999</v>
      </c>
    </row>
    <row r="33" spans="2:18" ht="15.75" x14ac:dyDescent="0.25">
      <c r="B33" s="10" t="s">
        <v>29</v>
      </c>
      <c r="K33" s="29">
        <v>27</v>
      </c>
      <c r="L33" s="3">
        <f t="shared" si="0"/>
        <v>27</v>
      </c>
      <c r="M33" s="23">
        <f t="shared" ca="1" si="1"/>
        <v>45430</v>
      </c>
      <c r="N33" s="14">
        <f t="shared" ca="1" si="5"/>
        <v>6228.3822904213739</v>
      </c>
      <c r="O33" s="14">
        <f t="shared" ca="1" si="2"/>
        <v>32154.048518923984</v>
      </c>
      <c r="P33" s="15">
        <f t="shared" ca="1" si="6"/>
        <v>38382.430809345358</v>
      </c>
      <c r="Q33" s="24">
        <f t="shared" ca="1" si="3"/>
        <v>2854027.9722469235</v>
      </c>
      <c r="R33" s="9">
        <f t="shared" si="4"/>
        <v>0.13489999999999999</v>
      </c>
    </row>
    <row r="34" spans="2:18" ht="15.75" x14ac:dyDescent="0.25">
      <c r="B34" s="36" t="s">
        <v>7</v>
      </c>
      <c r="C34" s="66">
        <f>IF(C14&gt;36,36,C14)</f>
        <v>36</v>
      </c>
      <c r="D34" s="66"/>
      <c r="K34" s="29">
        <v>28</v>
      </c>
      <c r="L34" s="3">
        <f t="shared" si="0"/>
        <v>28</v>
      </c>
      <c r="M34" s="23">
        <f t="shared" ca="1" si="1"/>
        <v>45461</v>
      </c>
      <c r="N34" s="14">
        <f t="shared" ca="1" si="5"/>
        <v>6298.3996880028608</v>
      </c>
      <c r="O34" s="14">
        <f t="shared" ca="1" si="2"/>
        <v>32084.031121342497</v>
      </c>
      <c r="P34" s="15">
        <f t="shared" ca="1" si="6"/>
        <v>38382.430809345358</v>
      </c>
      <c r="Q34" s="24">
        <f t="shared" ca="1" si="3"/>
        <v>2847729.5725589208</v>
      </c>
      <c r="R34" s="9">
        <f t="shared" si="4"/>
        <v>0.13489999999999999</v>
      </c>
    </row>
    <row r="35" spans="2:18" ht="15.75" x14ac:dyDescent="0.25">
      <c r="K35" s="29">
        <v>29</v>
      </c>
      <c r="L35" s="3">
        <f t="shared" si="0"/>
        <v>29</v>
      </c>
      <c r="M35" s="23">
        <f t="shared" ca="1" si="1"/>
        <v>45491</v>
      </c>
      <c r="N35" s="14">
        <f t="shared" ca="1" si="5"/>
        <v>6369.2041978288216</v>
      </c>
      <c r="O35" s="14">
        <f t="shared" ca="1" si="2"/>
        <v>32013.226611516537</v>
      </c>
      <c r="P35" s="15">
        <f t="shared" ca="1" si="6"/>
        <v>38382.430809345358</v>
      </c>
      <c r="Q35" s="24">
        <f t="shared" ca="1" si="3"/>
        <v>2841360.3683610922</v>
      </c>
      <c r="R35" s="9">
        <f t="shared" si="4"/>
        <v>0.13489999999999999</v>
      </c>
    </row>
    <row r="36" spans="2:18" ht="15.75" x14ac:dyDescent="0.25">
      <c r="K36" s="29">
        <v>30</v>
      </c>
      <c r="L36" s="3">
        <f t="shared" si="0"/>
        <v>30</v>
      </c>
      <c r="M36" s="23">
        <f t="shared" ca="1" si="1"/>
        <v>45522</v>
      </c>
      <c r="N36" s="14">
        <f t="shared" ca="1" si="5"/>
        <v>6440.80466835275</v>
      </c>
      <c r="O36" s="14">
        <f t="shared" ca="1" si="2"/>
        <v>31941.626140992608</v>
      </c>
      <c r="P36" s="15">
        <f t="shared" ca="1" si="6"/>
        <v>38382.430809345358</v>
      </c>
      <c r="Q36" s="24">
        <f t="shared" ca="1" si="3"/>
        <v>2834919.5636927392</v>
      </c>
      <c r="R36" s="9">
        <f t="shared" si="4"/>
        <v>0.13489999999999999</v>
      </c>
    </row>
    <row r="37" spans="2:18" ht="15.75" x14ac:dyDescent="0.25">
      <c r="K37" s="29">
        <v>31</v>
      </c>
      <c r="L37" s="3">
        <f t="shared" si="0"/>
        <v>31</v>
      </c>
      <c r="M37" s="23">
        <f t="shared" ca="1" si="1"/>
        <v>45553</v>
      </c>
      <c r="N37" s="14">
        <f t="shared" ca="1" si="5"/>
        <v>6513.2100474994841</v>
      </c>
      <c r="O37" s="14">
        <f t="shared" ca="1" si="2"/>
        <v>31869.220761845874</v>
      </c>
      <c r="P37" s="15">
        <f t="shared" ca="1" si="6"/>
        <v>38382.430809345358</v>
      </c>
      <c r="Q37" s="24">
        <f t="shared" ca="1" si="3"/>
        <v>2828406.35364524</v>
      </c>
      <c r="R37" s="9">
        <f t="shared" si="4"/>
        <v>0.13489999999999999</v>
      </c>
    </row>
    <row r="38" spans="2:18" ht="15.75" x14ac:dyDescent="0.25">
      <c r="K38" s="29">
        <v>32</v>
      </c>
      <c r="L38" s="3">
        <f t="shared" si="0"/>
        <v>32</v>
      </c>
      <c r="M38" s="23">
        <f t="shared" ca="1" si="1"/>
        <v>45583</v>
      </c>
      <c r="N38" s="14">
        <f t="shared" ca="1" si="5"/>
        <v>6586.4293837834557</v>
      </c>
      <c r="O38" s="14">
        <f t="shared" ca="1" si="2"/>
        <v>31796.001425561903</v>
      </c>
      <c r="P38" s="15">
        <f t="shared" ca="1" si="6"/>
        <v>38382.430809345358</v>
      </c>
      <c r="Q38" s="24">
        <f t="shared" ca="1" si="3"/>
        <v>2821819.9242614564</v>
      </c>
      <c r="R38" s="9">
        <f t="shared" si="4"/>
        <v>0.13489999999999999</v>
      </c>
    </row>
    <row r="39" spans="2:18" ht="15.75" x14ac:dyDescent="0.25">
      <c r="K39" s="29">
        <v>33</v>
      </c>
      <c r="L39" s="3">
        <f t="shared" ref="L39:L70" si="7">IF(K39&gt;$C$14,"",K39)</f>
        <v>33</v>
      </c>
      <c r="M39" s="23">
        <f t="shared" ref="M39:M70" ca="1" si="8">IF(L39&lt;=$C$14,EDATE($M$6,L39),"")</f>
        <v>45614</v>
      </c>
      <c r="N39" s="14">
        <f t="shared" ca="1" si="5"/>
        <v>6660.4718274394872</v>
      </c>
      <c r="O39" s="14">
        <f t="shared" ref="O39:O70" ca="1" si="9">IF(L39&lt;=$C$14,Q38*R39/12,"")</f>
        <v>31721.958981905871</v>
      </c>
      <c r="P39" s="15">
        <f t="shared" ca="1" si="6"/>
        <v>38382.430809345358</v>
      </c>
      <c r="Q39" s="24">
        <f t="shared" ref="Q39:Q70" ca="1" si="10">IF(M39="","",Q38-N39)</f>
        <v>2815159.4524340169</v>
      </c>
      <c r="R39" s="9">
        <f t="shared" ref="R39:R70" si="11">IF(L39&gt;$C$14,"",
IF(L39&gt;$C$34,$C$18,$C$16))</f>
        <v>0.13489999999999999</v>
      </c>
    </row>
    <row r="40" spans="2:18" ht="15.75" x14ac:dyDescent="0.25">
      <c r="K40" s="29">
        <v>34</v>
      </c>
      <c r="L40" s="3">
        <f t="shared" si="7"/>
        <v>34</v>
      </c>
      <c r="M40" s="23">
        <f t="shared" ca="1" si="8"/>
        <v>45644</v>
      </c>
      <c r="N40" s="14">
        <f t="shared" ref="N40:N71" ca="1" si="12">IF(M40="","",
IF($C$26="Стандарт",$C$12/$C$14,P40-IF(MOD(L40,12)=1,$G$8+$G$10,0)-O40))</f>
        <v>6735.3466315662845</v>
      </c>
      <c r="O40" s="14">
        <f t="shared" ca="1" si="9"/>
        <v>31647.084177779074</v>
      </c>
      <c r="P40" s="15">
        <f t="shared" ref="P40:P71" ca="1" si="13">IF(M40="","",
IF($C$26="Стандарт",N40+O40+IF(MOD(L40,12)=1,$G$8+$G$10,0),$L$4+IF(MOD(L40,12)=1,$G$8+$G$10,0)
))</f>
        <v>38382.430809345358</v>
      </c>
      <c r="Q40" s="24">
        <f t="shared" ca="1" si="10"/>
        <v>2808424.1058024508</v>
      </c>
      <c r="R40" s="9">
        <f t="shared" si="11"/>
        <v>0.13489999999999999</v>
      </c>
    </row>
    <row r="41" spans="2:18" ht="15.75" x14ac:dyDescent="0.25">
      <c r="K41" s="29">
        <v>35</v>
      </c>
      <c r="L41" s="3">
        <f t="shared" si="7"/>
        <v>35</v>
      </c>
      <c r="M41" s="23">
        <f t="shared" ca="1" si="8"/>
        <v>45675</v>
      </c>
      <c r="N41" s="14">
        <f t="shared" ca="1" si="12"/>
        <v>6811.0631532828083</v>
      </c>
      <c r="O41" s="14">
        <f t="shared" ca="1" si="9"/>
        <v>31571.36765606255</v>
      </c>
      <c r="P41" s="15">
        <f t="shared" ca="1" si="13"/>
        <v>38382.430809345358</v>
      </c>
      <c r="Q41" s="24">
        <f t="shared" ca="1" si="10"/>
        <v>2801613.0426491681</v>
      </c>
      <c r="R41" s="9">
        <f t="shared" si="11"/>
        <v>0.13489999999999999</v>
      </c>
    </row>
    <row r="42" spans="2:18" ht="15.75" x14ac:dyDescent="0.25">
      <c r="K42" s="29">
        <v>36</v>
      </c>
      <c r="L42" s="3">
        <f t="shared" si="7"/>
        <v>36</v>
      </c>
      <c r="M42" s="23">
        <f t="shared" ca="1" si="8"/>
        <v>45706</v>
      </c>
      <c r="N42" s="14">
        <f t="shared" ca="1" si="12"/>
        <v>6887.6308548976267</v>
      </c>
      <c r="O42" s="14">
        <f t="shared" ca="1" si="9"/>
        <v>31494.799954447732</v>
      </c>
      <c r="P42" s="15">
        <f t="shared" ca="1" si="13"/>
        <v>38382.430809345358</v>
      </c>
      <c r="Q42" s="24">
        <f t="shared" ca="1" si="10"/>
        <v>2794725.4117942704</v>
      </c>
      <c r="R42" s="9">
        <f t="shared" si="11"/>
        <v>0.13489999999999999</v>
      </c>
    </row>
    <row r="43" spans="2:18" ht="15.75" x14ac:dyDescent="0.25">
      <c r="K43" s="29">
        <v>37</v>
      </c>
      <c r="L43" s="3">
        <f t="shared" si="7"/>
        <v>37</v>
      </c>
      <c r="M43" s="23">
        <f t="shared" ca="1" si="8"/>
        <v>45734</v>
      </c>
      <c r="N43" s="14">
        <f t="shared" ca="1" si="12"/>
        <v>8152.8176051040027</v>
      </c>
      <c r="O43" s="14">
        <f t="shared" ca="1" si="9"/>
        <v>30229.613204241356</v>
      </c>
      <c r="P43" s="15">
        <f t="shared" ca="1" si="13"/>
        <v>51239.573679345354</v>
      </c>
      <c r="Q43" s="24">
        <f t="shared" ca="1" si="10"/>
        <v>2786572.5941891666</v>
      </c>
      <c r="R43" s="9">
        <f t="shared" si="11"/>
        <v>0.1298</v>
      </c>
    </row>
    <row r="44" spans="2:18" ht="15.75" x14ac:dyDescent="0.25">
      <c r="K44" s="29">
        <v>38</v>
      </c>
      <c r="L44" s="3">
        <f t="shared" si="7"/>
        <v>38</v>
      </c>
      <c r="M44" s="23">
        <f t="shared" ca="1" si="8"/>
        <v>45765</v>
      </c>
      <c r="N44" s="14">
        <f t="shared" ca="1" si="12"/>
        <v>8241.0039155325394</v>
      </c>
      <c r="O44" s="14">
        <f t="shared" ca="1" si="9"/>
        <v>30141.426893812819</v>
      </c>
      <c r="P44" s="15">
        <f t="shared" ca="1" si="13"/>
        <v>38382.430809345358</v>
      </c>
      <c r="Q44" s="24">
        <f t="shared" ca="1" si="10"/>
        <v>2778331.5902736341</v>
      </c>
      <c r="R44" s="9">
        <f t="shared" si="11"/>
        <v>0.1298</v>
      </c>
    </row>
    <row r="45" spans="2:18" ht="15.75" x14ac:dyDescent="0.25">
      <c r="K45" s="29">
        <v>39</v>
      </c>
      <c r="L45" s="3">
        <f t="shared" si="7"/>
        <v>39</v>
      </c>
      <c r="M45" s="23">
        <f t="shared" ca="1" si="8"/>
        <v>45795</v>
      </c>
      <c r="N45" s="14">
        <f t="shared" ca="1" si="12"/>
        <v>8330.1441078855532</v>
      </c>
      <c r="O45" s="14">
        <f t="shared" ca="1" si="9"/>
        <v>30052.286701459805</v>
      </c>
      <c r="P45" s="15">
        <f t="shared" ca="1" si="13"/>
        <v>38382.430809345358</v>
      </c>
      <c r="Q45" s="24">
        <f t="shared" ca="1" si="10"/>
        <v>2770001.4461657484</v>
      </c>
      <c r="R45" s="9">
        <f t="shared" si="11"/>
        <v>0.1298</v>
      </c>
    </row>
    <row r="46" spans="2:18" ht="15.75" x14ac:dyDescent="0.25">
      <c r="K46" s="29">
        <v>40</v>
      </c>
      <c r="L46" s="3">
        <f t="shared" si="7"/>
        <v>40</v>
      </c>
      <c r="M46" s="23">
        <f t="shared" ca="1" si="8"/>
        <v>45826</v>
      </c>
      <c r="N46" s="14">
        <f t="shared" ca="1" si="12"/>
        <v>8420.2484999858461</v>
      </c>
      <c r="O46" s="14">
        <f t="shared" ca="1" si="9"/>
        <v>29962.182309359512</v>
      </c>
      <c r="P46" s="15">
        <f t="shared" ca="1" si="13"/>
        <v>38382.430809345358</v>
      </c>
      <c r="Q46" s="24">
        <f t="shared" ca="1" si="10"/>
        <v>2761581.1976657626</v>
      </c>
      <c r="R46" s="9">
        <f t="shared" si="11"/>
        <v>0.1298</v>
      </c>
    </row>
    <row r="47" spans="2:18" ht="15.75" x14ac:dyDescent="0.25">
      <c r="K47" s="29">
        <v>41</v>
      </c>
      <c r="L47" s="3">
        <f t="shared" si="7"/>
        <v>41</v>
      </c>
      <c r="M47" s="23">
        <f t="shared" ca="1" si="8"/>
        <v>45856</v>
      </c>
      <c r="N47" s="14">
        <f t="shared" ca="1" si="12"/>
        <v>8511.3275212606932</v>
      </c>
      <c r="O47" s="14">
        <f t="shared" ca="1" si="9"/>
        <v>29871.103288084665</v>
      </c>
      <c r="P47" s="15">
        <f t="shared" ca="1" si="13"/>
        <v>38382.430809345358</v>
      </c>
      <c r="Q47" s="24">
        <f t="shared" ca="1" si="10"/>
        <v>2753069.8701445018</v>
      </c>
      <c r="R47" s="9">
        <f t="shared" si="11"/>
        <v>0.1298</v>
      </c>
    </row>
    <row r="48" spans="2:18" ht="15.75" x14ac:dyDescent="0.25">
      <c r="K48" s="29">
        <v>42</v>
      </c>
      <c r="L48" s="3">
        <f t="shared" si="7"/>
        <v>42</v>
      </c>
      <c r="M48" s="23">
        <f t="shared" ca="1" si="8"/>
        <v>45887</v>
      </c>
      <c r="N48" s="14">
        <f t="shared" ca="1" si="12"/>
        <v>8603.3917139489968</v>
      </c>
      <c r="O48" s="14">
        <f t="shared" ca="1" si="9"/>
        <v>29779.039095396362</v>
      </c>
      <c r="P48" s="15">
        <f t="shared" ca="1" si="13"/>
        <v>38382.430809345358</v>
      </c>
      <c r="Q48" s="24">
        <f t="shared" ca="1" si="10"/>
        <v>2744466.4784305529</v>
      </c>
      <c r="R48" s="9">
        <f t="shared" si="11"/>
        <v>0.1298</v>
      </c>
    </row>
    <row r="49" spans="11:18" ht="15.75" x14ac:dyDescent="0.25">
      <c r="K49" s="29">
        <v>43</v>
      </c>
      <c r="L49" s="3">
        <f t="shared" si="7"/>
        <v>43</v>
      </c>
      <c r="M49" s="23">
        <f t="shared" ca="1" si="8"/>
        <v>45918</v>
      </c>
      <c r="N49" s="14">
        <f t="shared" ca="1" si="12"/>
        <v>8696.4517343215448</v>
      </c>
      <c r="O49" s="14">
        <f t="shared" ca="1" si="9"/>
        <v>29685.979075023813</v>
      </c>
      <c r="P49" s="15">
        <f t="shared" ca="1" si="13"/>
        <v>38382.430809345358</v>
      </c>
      <c r="Q49" s="24">
        <f t="shared" ca="1" si="10"/>
        <v>2735770.0266962312</v>
      </c>
      <c r="R49" s="9">
        <f t="shared" si="11"/>
        <v>0.1298</v>
      </c>
    </row>
    <row r="50" spans="11:18" ht="15.75" x14ac:dyDescent="0.25">
      <c r="K50" s="29">
        <v>44</v>
      </c>
      <c r="L50" s="3">
        <f t="shared" si="7"/>
        <v>44</v>
      </c>
      <c r="M50" s="23">
        <f t="shared" ca="1" si="8"/>
        <v>45948</v>
      </c>
      <c r="N50" s="14">
        <f t="shared" ca="1" si="12"/>
        <v>8790.51835391446</v>
      </c>
      <c r="O50" s="14">
        <f t="shared" ca="1" si="9"/>
        <v>29591.912455430898</v>
      </c>
      <c r="P50" s="15">
        <f t="shared" ca="1" si="13"/>
        <v>38382.430809345358</v>
      </c>
      <c r="Q50" s="24">
        <f t="shared" ca="1" si="10"/>
        <v>2726979.5083423168</v>
      </c>
      <c r="R50" s="9">
        <f t="shared" si="11"/>
        <v>0.1298</v>
      </c>
    </row>
    <row r="51" spans="11:18" ht="15.75" x14ac:dyDescent="0.25">
      <c r="K51" s="29">
        <v>45</v>
      </c>
      <c r="L51" s="3">
        <f t="shared" si="7"/>
        <v>45</v>
      </c>
      <c r="M51" s="23">
        <f t="shared" ca="1" si="8"/>
        <v>45979</v>
      </c>
      <c r="N51" s="14">
        <f t="shared" ca="1" si="12"/>
        <v>8885.6024607759646</v>
      </c>
      <c r="O51" s="14">
        <f t="shared" ca="1" si="9"/>
        <v>29496.828348569394</v>
      </c>
      <c r="P51" s="15">
        <f t="shared" ca="1" si="13"/>
        <v>38382.430809345358</v>
      </c>
      <c r="Q51" s="24">
        <f t="shared" ca="1" si="10"/>
        <v>2718093.9058815408</v>
      </c>
      <c r="R51" s="9">
        <f t="shared" si="11"/>
        <v>0.1298</v>
      </c>
    </row>
    <row r="52" spans="11:18" ht="15.75" x14ac:dyDescent="0.25">
      <c r="K52" s="29">
        <v>46</v>
      </c>
      <c r="L52" s="3">
        <f t="shared" si="7"/>
        <v>46</v>
      </c>
      <c r="M52" s="23">
        <f t="shared" ca="1" si="8"/>
        <v>46009</v>
      </c>
      <c r="N52" s="14">
        <f t="shared" ca="1" si="12"/>
        <v>8981.7150607266922</v>
      </c>
      <c r="O52" s="14">
        <f t="shared" ca="1" si="9"/>
        <v>29400.715748618666</v>
      </c>
      <c r="P52" s="15">
        <f t="shared" ca="1" si="13"/>
        <v>38382.430809345358</v>
      </c>
      <c r="Q52" s="24">
        <f t="shared" ca="1" si="10"/>
        <v>2709112.1908208141</v>
      </c>
      <c r="R52" s="9">
        <f t="shared" si="11"/>
        <v>0.1298</v>
      </c>
    </row>
    <row r="53" spans="11:18" ht="15.75" x14ac:dyDescent="0.25">
      <c r="K53" s="29">
        <v>47</v>
      </c>
      <c r="L53" s="3">
        <f t="shared" si="7"/>
        <v>47</v>
      </c>
      <c r="M53" s="23">
        <f t="shared" ca="1" si="8"/>
        <v>46040</v>
      </c>
      <c r="N53" s="14">
        <f t="shared" ca="1" si="12"/>
        <v>9078.8672786335519</v>
      </c>
      <c r="O53" s="14">
        <f t="shared" ca="1" si="9"/>
        <v>29303.563530711806</v>
      </c>
      <c r="P53" s="15">
        <f t="shared" ca="1" si="13"/>
        <v>38382.430809345358</v>
      </c>
      <c r="Q53" s="24">
        <f t="shared" ca="1" si="10"/>
        <v>2700033.3235421805</v>
      </c>
      <c r="R53" s="9">
        <f t="shared" si="11"/>
        <v>0.1298</v>
      </c>
    </row>
    <row r="54" spans="11:18" ht="15.75" x14ac:dyDescent="0.25">
      <c r="K54" s="29">
        <v>48</v>
      </c>
      <c r="L54" s="3">
        <f t="shared" si="7"/>
        <v>48</v>
      </c>
      <c r="M54" s="23">
        <f t="shared" ca="1" si="8"/>
        <v>46071</v>
      </c>
      <c r="N54" s="14">
        <f t="shared" ca="1" si="12"/>
        <v>9177.0703596974381</v>
      </c>
      <c r="O54" s="14">
        <f t="shared" ca="1" si="9"/>
        <v>29205.36044964792</v>
      </c>
      <c r="P54" s="15">
        <f t="shared" ca="1" si="13"/>
        <v>38382.430809345358</v>
      </c>
      <c r="Q54" s="24">
        <f t="shared" ca="1" si="10"/>
        <v>2690856.2531824829</v>
      </c>
      <c r="R54" s="9">
        <f t="shared" si="11"/>
        <v>0.1298</v>
      </c>
    </row>
    <row r="55" spans="11:18" ht="15.75" x14ac:dyDescent="0.25">
      <c r="K55" s="29">
        <v>49</v>
      </c>
      <c r="L55" s="3">
        <f t="shared" si="7"/>
        <v>49</v>
      </c>
      <c r="M55" s="23">
        <f t="shared" ca="1" si="8"/>
        <v>46099</v>
      </c>
      <c r="N55" s="14">
        <f t="shared" ca="1" si="12"/>
        <v>9276.3356707548373</v>
      </c>
      <c r="O55" s="14">
        <f t="shared" ca="1" si="9"/>
        <v>29106.095138590521</v>
      </c>
      <c r="P55" s="15">
        <f t="shared" ca="1" si="13"/>
        <v>51239.573679345354</v>
      </c>
      <c r="Q55" s="24">
        <f t="shared" ca="1" si="10"/>
        <v>2681579.9175117281</v>
      </c>
      <c r="R55" s="9">
        <f t="shared" si="11"/>
        <v>0.1298</v>
      </c>
    </row>
    <row r="56" spans="11:18" ht="15.75" x14ac:dyDescent="0.25">
      <c r="K56" s="29">
        <v>50</v>
      </c>
      <c r="L56" s="3">
        <f t="shared" si="7"/>
        <v>50</v>
      </c>
      <c r="M56" s="23">
        <f t="shared" ca="1" si="8"/>
        <v>46130</v>
      </c>
      <c r="N56" s="14">
        <f t="shared" ca="1" si="12"/>
        <v>9376.6747015934998</v>
      </c>
      <c r="O56" s="14">
        <f t="shared" ca="1" si="9"/>
        <v>29005.756107751859</v>
      </c>
      <c r="P56" s="15">
        <f t="shared" ca="1" si="13"/>
        <v>38382.430809345358</v>
      </c>
      <c r="Q56" s="24">
        <f t="shared" ca="1" si="10"/>
        <v>2672203.2428101348</v>
      </c>
      <c r="R56" s="9">
        <f t="shared" si="11"/>
        <v>0.1298</v>
      </c>
    </row>
    <row r="57" spans="11:18" ht="15.75" x14ac:dyDescent="0.25">
      <c r="K57" s="29">
        <v>51</v>
      </c>
      <c r="L57" s="3">
        <f t="shared" si="7"/>
        <v>51</v>
      </c>
      <c r="M57" s="23">
        <f t="shared" ca="1" si="8"/>
        <v>46160</v>
      </c>
      <c r="N57" s="14">
        <f t="shared" ca="1" si="12"/>
        <v>9478.0990662824006</v>
      </c>
      <c r="O57" s="14">
        <f t="shared" ca="1" si="9"/>
        <v>28904.331743062958</v>
      </c>
      <c r="P57" s="15">
        <f t="shared" ca="1" si="13"/>
        <v>38382.430809345358</v>
      </c>
      <c r="Q57" s="24">
        <f t="shared" ca="1" si="10"/>
        <v>2662725.1437438522</v>
      </c>
      <c r="R57" s="9">
        <f t="shared" si="11"/>
        <v>0.1298</v>
      </c>
    </row>
    <row r="58" spans="11:18" ht="15.75" x14ac:dyDescent="0.25">
      <c r="K58" s="29">
        <v>52</v>
      </c>
      <c r="L58" s="3">
        <f t="shared" si="7"/>
        <v>52</v>
      </c>
      <c r="M58" s="23">
        <f t="shared" ca="1" si="8"/>
        <v>46191</v>
      </c>
      <c r="N58" s="14">
        <f t="shared" ca="1" si="12"/>
        <v>9580.6205045160277</v>
      </c>
      <c r="O58" s="14">
        <f t="shared" ca="1" si="9"/>
        <v>28801.810304829331</v>
      </c>
      <c r="P58" s="15">
        <f t="shared" ca="1" si="13"/>
        <v>38382.430809345358</v>
      </c>
      <c r="Q58" s="24">
        <f t="shared" ca="1" si="10"/>
        <v>2653144.523239336</v>
      </c>
      <c r="R58" s="9">
        <f t="shared" si="11"/>
        <v>0.1298</v>
      </c>
    </row>
    <row r="59" spans="11:18" ht="15.75" x14ac:dyDescent="0.25">
      <c r="K59" s="29">
        <v>53</v>
      </c>
      <c r="L59" s="3">
        <f t="shared" si="7"/>
        <v>53</v>
      </c>
      <c r="M59" s="23">
        <f t="shared" ca="1" si="8"/>
        <v>46221</v>
      </c>
      <c r="N59" s="14">
        <f t="shared" ca="1" si="12"/>
        <v>9684.2508829732069</v>
      </c>
      <c r="O59" s="14">
        <f t="shared" ca="1" si="9"/>
        <v>28698.179926372151</v>
      </c>
      <c r="P59" s="15">
        <f t="shared" ca="1" si="13"/>
        <v>38382.430809345358</v>
      </c>
      <c r="Q59" s="24">
        <f t="shared" ca="1" si="10"/>
        <v>2643460.2723563625</v>
      </c>
      <c r="R59" s="9">
        <f t="shared" si="11"/>
        <v>0.1298</v>
      </c>
    </row>
    <row r="60" spans="11:18" ht="15.75" x14ac:dyDescent="0.25">
      <c r="K60" s="29">
        <v>54</v>
      </c>
      <c r="L60" s="3">
        <f t="shared" si="7"/>
        <v>54</v>
      </c>
      <c r="M60" s="23">
        <f t="shared" ca="1" si="8"/>
        <v>46252</v>
      </c>
      <c r="N60" s="14">
        <f t="shared" ca="1" si="12"/>
        <v>9789.0021966907043</v>
      </c>
      <c r="O60" s="14">
        <f t="shared" ca="1" si="9"/>
        <v>28593.428612654654</v>
      </c>
      <c r="P60" s="15">
        <f t="shared" ca="1" si="13"/>
        <v>38382.430809345358</v>
      </c>
      <c r="Q60" s="24">
        <f t="shared" ca="1" si="10"/>
        <v>2633671.270159672</v>
      </c>
      <c r="R60" s="9">
        <f t="shared" si="11"/>
        <v>0.1298</v>
      </c>
    </row>
    <row r="61" spans="11:18" ht="15.75" x14ac:dyDescent="0.25">
      <c r="K61" s="29">
        <v>55</v>
      </c>
      <c r="L61" s="3">
        <f t="shared" si="7"/>
        <v>55</v>
      </c>
      <c r="M61" s="23">
        <f t="shared" ca="1" si="8"/>
        <v>46283</v>
      </c>
      <c r="N61" s="14">
        <f t="shared" ca="1" si="12"/>
        <v>9894.8865704515738</v>
      </c>
      <c r="O61" s="14">
        <f t="shared" ca="1" si="9"/>
        <v>28487.544238893784</v>
      </c>
      <c r="P61" s="15">
        <f t="shared" ca="1" si="13"/>
        <v>38382.430809345358</v>
      </c>
      <c r="Q61" s="24">
        <f t="shared" ca="1" si="10"/>
        <v>2623776.3835892202</v>
      </c>
      <c r="R61" s="9">
        <f t="shared" si="11"/>
        <v>0.1298</v>
      </c>
    </row>
    <row r="62" spans="11:18" ht="15.75" x14ac:dyDescent="0.25">
      <c r="K62" s="29">
        <v>56</v>
      </c>
      <c r="L62" s="3">
        <f t="shared" si="7"/>
        <v>56</v>
      </c>
      <c r="M62" s="23">
        <f t="shared" ca="1" si="8"/>
        <v>46313</v>
      </c>
      <c r="N62" s="14">
        <f t="shared" ca="1" si="12"/>
        <v>10001.916260188624</v>
      </c>
      <c r="O62" s="14">
        <f t="shared" ca="1" si="9"/>
        <v>28380.514549156735</v>
      </c>
      <c r="P62" s="15">
        <f t="shared" ca="1" si="13"/>
        <v>38382.430809345358</v>
      </c>
      <c r="Q62" s="24">
        <f t="shared" ca="1" si="10"/>
        <v>2613774.4673290318</v>
      </c>
      <c r="R62" s="9">
        <f t="shared" si="11"/>
        <v>0.1298</v>
      </c>
    </row>
    <row r="63" spans="11:18" ht="15.75" x14ac:dyDescent="0.25">
      <c r="K63" s="29">
        <v>57</v>
      </c>
      <c r="L63" s="3">
        <f t="shared" si="7"/>
        <v>57</v>
      </c>
      <c r="M63" s="23">
        <f t="shared" ca="1" si="8"/>
        <v>46344</v>
      </c>
      <c r="N63" s="14">
        <f t="shared" ca="1" si="12"/>
        <v>10110.103654402996</v>
      </c>
      <c r="O63" s="14">
        <f t="shared" ca="1" si="9"/>
        <v>28272.327154942363</v>
      </c>
      <c r="P63" s="15">
        <f t="shared" ca="1" si="13"/>
        <v>38382.430809345358</v>
      </c>
      <c r="Q63" s="24">
        <f t="shared" ca="1" si="10"/>
        <v>2603664.363674629</v>
      </c>
      <c r="R63" s="9">
        <f t="shared" si="11"/>
        <v>0.1298</v>
      </c>
    </row>
    <row r="64" spans="11:18" ht="15.75" x14ac:dyDescent="0.25">
      <c r="K64" s="29">
        <v>58</v>
      </c>
      <c r="L64" s="3">
        <f t="shared" si="7"/>
        <v>58</v>
      </c>
      <c r="M64" s="23">
        <f t="shared" ca="1" si="8"/>
        <v>46374</v>
      </c>
      <c r="N64" s="14">
        <f t="shared" ca="1" si="12"/>
        <v>10219.461275598122</v>
      </c>
      <c r="O64" s="14">
        <f t="shared" ca="1" si="9"/>
        <v>28162.969533747237</v>
      </c>
      <c r="P64" s="15">
        <f t="shared" ca="1" si="13"/>
        <v>38382.430809345358</v>
      </c>
      <c r="Q64" s="24">
        <f t="shared" ca="1" si="10"/>
        <v>2593444.902399031</v>
      </c>
      <c r="R64" s="9">
        <f t="shared" si="11"/>
        <v>0.1298</v>
      </c>
    </row>
    <row r="65" spans="11:18" ht="15.75" x14ac:dyDescent="0.25">
      <c r="K65" s="29">
        <v>59</v>
      </c>
      <c r="L65" s="3">
        <f t="shared" si="7"/>
        <v>59</v>
      </c>
      <c r="M65" s="23">
        <f t="shared" ca="1" si="8"/>
        <v>46405</v>
      </c>
      <c r="N65" s="14">
        <f t="shared" ca="1" si="12"/>
        <v>10330.00178172917</v>
      </c>
      <c r="O65" s="14">
        <f t="shared" ca="1" si="9"/>
        <v>28052.429027616188</v>
      </c>
      <c r="P65" s="15">
        <f t="shared" ca="1" si="13"/>
        <v>38382.430809345358</v>
      </c>
      <c r="Q65" s="24">
        <f t="shared" ca="1" si="10"/>
        <v>2583114.9006173019</v>
      </c>
      <c r="R65" s="9">
        <f t="shared" si="11"/>
        <v>0.1298</v>
      </c>
    </row>
    <row r="66" spans="11:18" ht="15.75" x14ac:dyDescent="0.25">
      <c r="K66" s="29">
        <v>60</v>
      </c>
      <c r="L66" s="3">
        <f t="shared" si="7"/>
        <v>60</v>
      </c>
      <c r="M66" s="23">
        <f t="shared" ca="1" si="8"/>
        <v>46436</v>
      </c>
      <c r="N66" s="14">
        <f t="shared" ca="1" si="12"/>
        <v>10441.737967668207</v>
      </c>
      <c r="O66" s="14">
        <f t="shared" ca="1" si="9"/>
        <v>27940.692841677152</v>
      </c>
      <c r="P66" s="15">
        <f t="shared" ca="1" si="13"/>
        <v>38382.430809345358</v>
      </c>
      <c r="Q66" s="24">
        <f t="shared" ca="1" si="10"/>
        <v>2572673.1626496338</v>
      </c>
      <c r="R66" s="9">
        <f t="shared" si="11"/>
        <v>0.1298</v>
      </c>
    </row>
    <row r="67" spans="11:18" ht="15.75" x14ac:dyDescent="0.25">
      <c r="K67" s="29">
        <v>61</v>
      </c>
      <c r="L67" s="3">
        <f t="shared" si="7"/>
        <v>61</v>
      </c>
      <c r="M67" s="23">
        <f t="shared" ca="1" si="8"/>
        <v>46464</v>
      </c>
      <c r="N67" s="14">
        <f t="shared" ca="1" si="12"/>
        <v>10554.68276668515</v>
      </c>
      <c r="O67" s="14">
        <f t="shared" ca="1" si="9"/>
        <v>27827.748042660209</v>
      </c>
      <c r="P67" s="15">
        <f t="shared" ca="1" si="13"/>
        <v>51239.573679345354</v>
      </c>
      <c r="Q67" s="24">
        <f t="shared" ca="1" si="10"/>
        <v>2562118.4798829486</v>
      </c>
      <c r="R67" s="9">
        <f t="shared" si="11"/>
        <v>0.1298</v>
      </c>
    </row>
    <row r="68" spans="11:18" ht="15.75" x14ac:dyDescent="0.25">
      <c r="K68" s="29">
        <v>62</v>
      </c>
      <c r="L68" s="3">
        <f t="shared" si="7"/>
        <v>62</v>
      </c>
      <c r="M68" s="23">
        <f t="shared" ca="1" si="8"/>
        <v>46495</v>
      </c>
      <c r="N68" s="14">
        <f t="shared" ca="1" si="12"/>
        <v>10668.849251944801</v>
      </c>
      <c r="O68" s="14">
        <f t="shared" ca="1" si="9"/>
        <v>27713.581557400557</v>
      </c>
      <c r="P68" s="15">
        <f t="shared" ca="1" si="13"/>
        <v>38382.430809345358</v>
      </c>
      <c r="Q68" s="24">
        <f t="shared" ca="1" si="10"/>
        <v>2551449.630631004</v>
      </c>
      <c r="R68" s="9">
        <f t="shared" si="11"/>
        <v>0.1298</v>
      </c>
    </row>
    <row r="69" spans="11:18" ht="15.75" x14ac:dyDescent="0.25">
      <c r="K69" s="29">
        <v>63</v>
      </c>
      <c r="L69" s="3">
        <f t="shared" si="7"/>
        <v>63</v>
      </c>
      <c r="M69" s="23">
        <f t="shared" ca="1" si="8"/>
        <v>46525</v>
      </c>
      <c r="N69" s="14">
        <f t="shared" ca="1" si="12"/>
        <v>10784.250638019996</v>
      </c>
      <c r="O69" s="14">
        <f t="shared" ca="1" si="9"/>
        <v>27598.180171325363</v>
      </c>
      <c r="P69" s="15">
        <f t="shared" ca="1" si="13"/>
        <v>38382.430809345358</v>
      </c>
      <c r="Q69" s="24">
        <f t="shared" ca="1" si="10"/>
        <v>2540665.3799929838</v>
      </c>
      <c r="R69" s="9">
        <f t="shared" si="11"/>
        <v>0.1298</v>
      </c>
    </row>
    <row r="70" spans="11:18" ht="15.75" x14ac:dyDescent="0.25">
      <c r="K70" s="29">
        <v>64</v>
      </c>
      <c r="L70" s="3">
        <f t="shared" si="7"/>
        <v>64</v>
      </c>
      <c r="M70" s="23">
        <f t="shared" ca="1" si="8"/>
        <v>46556</v>
      </c>
      <c r="N70" s="14">
        <f t="shared" ca="1" si="12"/>
        <v>10900.900282421251</v>
      </c>
      <c r="O70" s="14">
        <f t="shared" ca="1" si="9"/>
        <v>27481.530526924107</v>
      </c>
      <c r="P70" s="15">
        <f t="shared" ca="1" si="13"/>
        <v>38382.430809345358</v>
      </c>
      <c r="Q70" s="24">
        <f t="shared" ca="1" si="10"/>
        <v>2529764.4797105626</v>
      </c>
      <c r="R70" s="9">
        <f t="shared" si="11"/>
        <v>0.1298</v>
      </c>
    </row>
    <row r="71" spans="11:18" ht="15.75" x14ac:dyDescent="0.25">
      <c r="K71" s="29">
        <v>65</v>
      </c>
      <c r="L71" s="3">
        <f t="shared" ref="L71:L102" si="14">IF(K71&gt;$C$14,"",K71)</f>
        <v>65</v>
      </c>
      <c r="M71" s="23">
        <f t="shared" ref="M71:M102" ca="1" si="15">IF(L71&lt;=$C$14,EDATE($M$6,L71),"")</f>
        <v>46586</v>
      </c>
      <c r="N71" s="14">
        <f t="shared" ca="1" si="12"/>
        <v>11018.811687142774</v>
      </c>
      <c r="O71" s="14">
        <f t="shared" ref="O71:O102" ca="1" si="16">IF(L71&lt;=$C$14,Q70*R71/12,"")</f>
        <v>27363.619122202585</v>
      </c>
      <c r="P71" s="15">
        <f t="shared" ca="1" si="13"/>
        <v>38382.430809345358</v>
      </c>
      <c r="Q71" s="24">
        <f t="shared" ref="Q71:Q102" ca="1" si="17">IF(M71="","",Q70-N71)</f>
        <v>2518745.66802342</v>
      </c>
      <c r="R71" s="9">
        <f t="shared" ref="R71:R102" si="18">IF(L71&gt;$C$14,"",
IF(L71&gt;$C$34,$C$18,$C$16))</f>
        <v>0.1298</v>
      </c>
    </row>
    <row r="72" spans="11:18" ht="15.75" x14ac:dyDescent="0.25">
      <c r="K72" s="29">
        <v>66</v>
      </c>
      <c r="L72" s="3">
        <f t="shared" si="14"/>
        <v>66</v>
      </c>
      <c r="M72" s="23">
        <f t="shared" ca="1" si="15"/>
        <v>46617</v>
      </c>
      <c r="N72" s="14">
        <f t="shared" ref="N72:N103" ca="1" si="19">IF(M72="","",
IF($C$26="Стандарт",$C$12/$C$14,P72-IF(MOD(L72,12)=1,$G$8+$G$10,0)-O72))</f>
        <v>11137.998500225367</v>
      </c>
      <c r="O72" s="14">
        <f t="shared" ca="1" si="16"/>
        <v>27244.432309119991</v>
      </c>
      <c r="P72" s="15">
        <f t="shared" ref="P72:P103" ca="1" si="20">IF(M72="","",
IF($C$26="Стандарт",N72+O72+IF(MOD(L72,12)=1,$G$8+$G$10,0),$L$4+IF(MOD(L72,12)=1,$G$8+$G$10,0)
))</f>
        <v>38382.430809345358</v>
      </c>
      <c r="Q72" s="24">
        <f t="shared" ca="1" si="17"/>
        <v>2507607.6695231944</v>
      </c>
      <c r="R72" s="9">
        <f t="shared" si="18"/>
        <v>0.1298</v>
      </c>
    </row>
    <row r="73" spans="11:18" ht="15.75" x14ac:dyDescent="0.25">
      <c r="K73" s="29">
        <v>67</v>
      </c>
      <c r="L73" s="3">
        <f t="shared" si="14"/>
        <v>67</v>
      </c>
      <c r="M73" s="23">
        <f t="shared" ca="1" si="15"/>
        <v>46648</v>
      </c>
      <c r="N73" s="14">
        <f t="shared" ca="1" si="19"/>
        <v>11258.474517336141</v>
      </c>
      <c r="O73" s="14">
        <f t="shared" ca="1" si="16"/>
        <v>27123.956292009218</v>
      </c>
      <c r="P73" s="15">
        <f t="shared" ca="1" si="20"/>
        <v>38382.430809345358</v>
      </c>
      <c r="Q73" s="24">
        <f t="shared" ca="1" si="17"/>
        <v>2496349.1950058583</v>
      </c>
      <c r="R73" s="9">
        <f t="shared" si="18"/>
        <v>0.1298</v>
      </c>
    </row>
    <row r="74" spans="11:18" ht="15.75" x14ac:dyDescent="0.25">
      <c r="K74" s="29">
        <v>68</v>
      </c>
      <c r="L74" s="3">
        <f t="shared" si="14"/>
        <v>68</v>
      </c>
      <c r="M74" s="23">
        <f t="shared" ca="1" si="15"/>
        <v>46678</v>
      </c>
      <c r="N74" s="14">
        <f t="shared" ca="1" si="19"/>
        <v>11380.253683365325</v>
      </c>
      <c r="O74" s="14">
        <f t="shared" ca="1" si="16"/>
        <v>27002.177125980033</v>
      </c>
      <c r="P74" s="15">
        <f t="shared" ca="1" si="20"/>
        <v>38382.430809345358</v>
      </c>
      <c r="Q74" s="24">
        <f t="shared" ca="1" si="17"/>
        <v>2484968.9413224929</v>
      </c>
      <c r="R74" s="9">
        <f t="shared" si="18"/>
        <v>0.1298</v>
      </c>
    </row>
    <row r="75" spans="11:18" ht="15.75" x14ac:dyDescent="0.25">
      <c r="K75" s="29">
        <v>69</v>
      </c>
      <c r="L75" s="3">
        <f t="shared" si="14"/>
        <v>69</v>
      </c>
      <c r="M75" s="23">
        <f t="shared" ca="1" si="15"/>
        <v>46709</v>
      </c>
      <c r="N75" s="14">
        <f t="shared" ca="1" si="19"/>
        <v>11503.350094040394</v>
      </c>
      <c r="O75" s="14">
        <f t="shared" ca="1" si="16"/>
        <v>26879.080715304965</v>
      </c>
      <c r="P75" s="15">
        <f t="shared" ca="1" si="20"/>
        <v>38382.430809345358</v>
      </c>
      <c r="Q75" s="24">
        <f t="shared" ca="1" si="17"/>
        <v>2473465.5912284525</v>
      </c>
      <c r="R75" s="9">
        <f t="shared" si="18"/>
        <v>0.1298</v>
      </c>
    </row>
    <row r="76" spans="11:18" ht="15.75" x14ac:dyDescent="0.25">
      <c r="K76" s="29">
        <v>70</v>
      </c>
      <c r="L76" s="3">
        <f t="shared" si="14"/>
        <v>70</v>
      </c>
      <c r="M76" s="23">
        <f t="shared" ca="1" si="15"/>
        <v>46739</v>
      </c>
      <c r="N76" s="14">
        <f t="shared" ca="1" si="19"/>
        <v>11627.777997557598</v>
      </c>
      <c r="O76" s="14">
        <f t="shared" ca="1" si="16"/>
        <v>26754.652811787761</v>
      </c>
      <c r="P76" s="15">
        <f t="shared" ca="1" si="20"/>
        <v>38382.430809345358</v>
      </c>
      <c r="Q76" s="24">
        <f t="shared" ca="1" si="17"/>
        <v>2461837.813230895</v>
      </c>
      <c r="R76" s="9">
        <f t="shared" si="18"/>
        <v>0.1298</v>
      </c>
    </row>
    <row r="77" spans="11:18" ht="15.75" x14ac:dyDescent="0.25">
      <c r="K77" s="29">
        <v>71</v>
      </c>
      <c r="L77" s="3">
        <f t="shared" si="14"/>
        <v>71</v>
      </c>
      <c r="M77" s="23">
        <f t="shared" ca="1" si="15"/>
        <v>46770</v>
      </c>
      <c r="N77" s="14">
        <f t="shared" ca="1" si="19"/>
        <v>11753.551796231175</v>
      </c>
      <c r="O77" s="14">
        <f t="shared" ca="1" si="16"/>
        <v>26628.879013114183</v>
      </c>
      <c r="P77" s="15">
        <f t="shared" ca="1" si="20"/>
        <v>38382.430809345358</v>
      </c>
      <c r="Q77" s="24">
        <f t="shared" ca="1" si="17"/>
        <v>2450084.261434664</v>
      </c>
      <c r="R77" s="9">
        <f t="shared" si="18"/>
        <v>0.1298</v>
      </c>
    </row>
    <row r="78" spans="11:18" ht="15.75" x14ac:dyDescent="0.25">
      <c r="K78" s="29">
        <v>72</v>
      </c>
      <c r="L78" s="3">
        <f t="shared" si="14"/>
        <v>72</v>
      </c>
      <c r="M78" s="23">
        <f t="shared" ca="1" si="15"/>
        <v>46801</v>
      </c>
      <c r="N78" s="14">
        <f t="shared" ca="1" si="19"/>
        <v>11880.686048160409</v>
      </c>
      <c r="O78" s="14">
        <f t="shared" ca="1" si="16"/>
        <v>26501.744761184949</v>
      </c>
      <c r="P78" s="15">
        <f t="shared" ca="1" si="20"/>
        <v>38382.430809345358</v>
      </c>
      <c r="Q78" s="24">
        <f t="shared" ca="1" si="17"/>
        <v>2438203.5753865037</v>
      </c>
      <c r="R78" s="9">
        <f t="shared" si="18"/>
        <v>0.1298</v>
      </c>
    </row>
    <row r="79" spans="11:18" ht="15.75" x14ac:dyDescent="0.25">
      <c r="K79" s="29">
        <v>73</v>
      </c>
      <c r="L79" s="3">
        <f t="shared" si="14"/>
        <v>73</v>
      </c>
      <c r="M79" s="23">
        <f t="shared" ca="1" si="15"/>
        <v>46830</v>
      </c>
      <c r="N79" s="14">
        <f t="shared" ca="1" si="19"/>
        <v>12009.195468914677</v>
      </c>
      <c r="O79" s="14">
        <f t="shared" ca="1" si="16"/>
        <v>26373.235340430681</v>
      </c>
      <c r="P79" s="15">
        <f t="shared" ca="1" si="20"/>
        <v>51239.573679345354</v>
      </c>
      <c r="Q79" s="24">
        <f t="shared" ca="1" si="17"/>
        <v>2426194.379917589</v>
      </c>
      <c r="R79" s="9">
        <f t="shared" si="18"/>
        <v>0.1298</v>
      </c>
    </row>
    <row r="80" spans="11:18" ht="15.75" x14ac:dyDescent="0.25">
      <c r="K80" s="29">
        <v>74</v>
      </c>
      <c r="L80" s="3">
        <f t="shared" si="14"/>
        <v>74</v>
      </c>
      <c r="M80" s="23">
        <f t="shared" ca="1" si="15"/>
        <v>46861</v>
      </c>
      <c r="N80" s="14">
        <f t="shared" ca="1" si="19"/>
        <v>12139.094933236771</v>
      </c>
      <c r="O80" s="14">
        <f t="shared" ca="1" si="16"/>
        <v>26243.335876108587</v>
      </c>
      <c r="P80" s="15">
        <f t="shared" ca="1" si="20"/>
        <v>38382.430809345358</v>
      </c>
      <c r="Q80" s="24">
        <f t="shared" ca="1" si="17"/>
        <v>2414055.2849843521</v>
      </c>
      <c r="R80" s="9">
        <f t="shared" si="18"/>
        <v>0.1298</v>
      </c>
    </row>
    <row r="81" spans="11:18" ht="15.75" x14ac:dyDescent="0.25">
      <c r="K81" s="29">
        <v>75</v>
      </c>
      <c r="L81" s="3">
        <f t="shared" si="14"/>
        <v>75</v>
      </c>
      <c r="M81" s="23">
        <f t="shared" ca="1" si="15"/>
        <v>46891</v>
      </c>
      <c r="N81" s="14">
        <f t="shared" ca="1" si="19"/>
        <v>12270.399476764618</v>
      </c>
      <c r="O81" s="14">
        <f t="shared" ca="1" si="16"/>
        <v>26112.03133258074</v>
      </c>
      <c r="P81" s="15">
        <f t="shared" ca="1" si="20"/>
        <v>38382.430809345358</v>
      </c>
      <c r="Q81" s="24">
        <f t="shared" ca="1" si="17"/>
        <v>2401784.8855075873</v>
      </c>
      <c r="R81" s="9">
        <f t="shared" si="18"/>
        <v>0.1298</v>
      </c>
    </row>
    <row r="82" spans="11:18" ht="15.75" x14ac:dyDescent="0.25">
      <c r="K82" s="29">
        <v>76</v>
      </c>
      <c r="L82" s="3">
        <f t="shared" si="14"/>
        <v>76</v>
      </c>
      <c r="M82" s="23">
        <f t="shared" ca="1" si="15"/>
        <v>46922</v>
      </c>
      <c r="N82" s="14">
        <f t="shared" ca="1" si="19"/>
        <v>12403.124297771621</v>
      </c>
      <c r="O82" s="14">
        <f t="shared" ca="1" si="16"/>
        <v>25979.306511573737</v>
      </c>
      <c r="P82" s="15">
        <f t="shared" ca="1" si="20"/>
        <v>38382.430809345358</v>
      </c>
      <c r="Q82" s="24">
        <f t="shared" ca="1" si="17"/>
        <v>2389381.7612098157</v>
      </c>
      <c r="R82" s="9">
        <f t="shared" si="18"/>
        <v>0.1298</v>
      </c>
    </row>
    <row r="83" spans="11:18" ht="15.75" x14ac:dyDescent="0.25">
      <c r="K83" s="29">
        <v>77</v>
      </c>
      <c r="L83" s="3">
        <f t="shared" si="14"/>
        <v>77</v>
      </c>
      <c r="M83" s="23">
        <f t="shared" ca="1" si="15"/>
        <v>46952</v>
      </c>
      <c r="N83" s="14">
        <f t="shared" ca="1" si="19"/>
        <v>12537.284758925849</v>
      </c>
      <c r="O83" s="14">
        <f t="shared" ca="1" si="16"/>
        <v>25845.146050419509</v>
      </c>
      <c r="P83" s="15">
        <f t="shared" ca="1" si="20"/>
        <v>38382.430809345358</v>
      </c>
      <c r="Q83" s="24">
        <f t="shared" ca="1" si="17"/>
        <v>2376844.4764508898</v>
      </c>
      <c r="R83" s="9">
        <f t="shared" si="18"/>
        <v>0.1298</v>
      </c>
    </row>
    <row r="84" spans="11:18" ht="15.75" x14ac:dyDescent="0.25">
      <c r="K84" s="29">
        <v>78</v>
      </c>
      <c r="L84" s="3">
        <f t="shared" si="14"/>
        <v>78</v>
      </c>
      <c r="M84" s="23">
        <f t="shared" ca="1" si="15"/>
        <v>46983</v>
      </c>
      <c r="N84" s="14">
        <f t="shared" ca="1" si="19"/>
        <v>12672.896389068235</v>
      </c>
      <c r="O84" s="14">
        <f t="shared" ca="1" si="16"/>
        <v>25709.534420277123</v>
      </c>
      <c r="P84" s="15">
        <f t="shared" ca="1" si="20"/>
        <v>38382.430809345358</v>
      </c>
      <c r="Q84" s="24">
        <f t="shared" ca="1" si="17"/>
        <v>2364171.5800618217</v>
      </c>
      <c r="R84" s="9">
        <f t="shared" si="18"/>
        <v>0.1298</v>
      </c>
    </row>
    <row r="85" spans="11:18" ht="15.75" x14ac:dyDescent="0.25">
      <c r="K85" s="29">
        <v>79</v>
      </c>
      <c r="L85" s="3">
        <f t="shared" si="14"/>
        <v>79</v>
      </c>
      <c r="M85" s="23">
        <f t="shared" ca="1" si="15"/>
        <v>47014</v>
      </c>
      <c r="N85" s="14">
        <f t="shared" ca="1" si="19"/>
        <v>12809.974885009986</v>
      </c>
      <c r="O85" s="14">
        <f t="shared" ca="1" si="16"/>
        <v>25572.455924335372</v>
      </c>
      <c r="P85" s="15">
        <f t="shared" ca="1" si="20"/>
        <v>38382.430809345358</v>
      </c>
      <c r="Q85" s="24">
        <f t="shared" ca="1" si="17"/>
        <v>2351361.6051768116</v>
      </c>
      <c r="R85" s="9">
        <f t="shared" si="18"/>
        <v>0.1298</v>
      </c>
    </row>
    <row r="86" spans="11:18" ht="15.75" x14ac:dyDescent="0.25">
      <c r="K86" s="29">
        <v>80</v>
      </c>
      <c r="L86" s="3">
        <f t="shared" si="14"/>
        <v>80</v>
      </c>
      <c r="M86" s="23">
        <f t="shared" ca="1" si="15"/>
        <v>47044</v>
      </c>
      <c r="N86" s="14">
        <f t="shared" ca="1" si="19"/>
        <v>12948.536113349513</v>
      </c>
      <c r="O86" s="14">
        <f t="shared" ca="1" si="16"/>
        <v>25433.894695995845</v>
      </c>
      <c r="P86" s="15">
        <f t="shared" ca="1" si="20"/>
        <v>38382.430809345358</v>
      </c>
      <c r="Q86" s="24">
        <f t="shared" ca="1" si="17"/>
        <v>2338413.0690634619</v>
      </c>
      <c r="R86" s="9">
        <f t="shared" si="18"/>
        <v>0.1298</v>
      </c>
    </row>
    <row r="87" spans="11:18" ht="15.75" x14ac:dyDescent="0.25">
      <c r="K87" s="29">
        <v>81</v>
      </c>
      <c r="L87" s="3">
        <f t="shared" si="14"/>
        <v>81</v>
      </c>
      <c r="M87" s="23">
        <f t="shared" ca="1" si="15"/>
        <v>47075</v>
      </c>
      <c r="N87" s="14">
        <f t="shared" ca="1" si="19"/>
        <v>13088.596112308911</v>
      </c>
      <c r="O87" s="14">
        <f t="shared" ca="1" si="16"/>
        <v>25293.834697036447</v>
      </c>
      <c r="P87" s="15">
        <f t="shared" ca="1" si="20"/>
        <v>38382.430809345358</v>
      </c>
      <c r="Q87" s="24">
        <f t="shared" ca="1" si="17"/>
        <v>2325324.4729511528</v>
      </c>
      <c r="R87" s="9">
        <f t="shared" si="18"/>
        <v>0.1298</v>
      </c>
    </row>
    <row r="88" spans="11:18" ht="15.75" x14ac:dyDescent="0.25">
      <c r="K88" s="29">
        <v>82</v>
      </c>
      <c r="L88" s="3">
        <f t="shared" si="14"/>
        <v>82</v>
      </c>
      <c r="M88" s="23">
        <f t="shared" ca="1" si="15"/>
        <v>47105</v>
      </c>
      <c r="N88" s="14">
        <f t="shared" ca="1" si="19"/>
        <v>13230.171093590387</v>
      </c>
      <c r="O88" s="14">
        <f t="shared" ca="1" si="16"/>
        <v>25152.259715754972</v>
      </c>
      <c r="P88" s="15">
        <f t="shared" ca="1" si="20"/>
        <v>38382.430809345358</v>
      </c>
      <c r="Q88" s="24">
        <f t="shared" ca="1" si="17"/>
        <v>2312094.3018575623</v>
      </c>
      <c r="R88" s="9">
        <f t="shared" si="18"/>
        <v>0.1298</v>
      </c>
    </row>
    <row r="89" spans="11:18" ht="15.75" x14ac:dyDescent="0.25">
      <c r="K89" s="29">
        <v>83</v>
      </c>
      <c r="L89" s="3">
        <f t="shared" si="14"/>
        <v>83</v>
      </c>
      <c r="M89" s="23">
        <f t="shared" ca="1" si="15"/>
        <v>47136</v>
      </c>
      <c r="N89" s="14">
        <f t="shared" ca="1" si="19"/>
        <v>13373.277444252726</v>
      </c>
      <c r="O89" s="14">
        <f t="shared" ca="1" si="16"/>
        <v>25009.153365092632</v>
      </c>
      <c r="P89" s="15">
        <f t="shared" ca="1" si="20"/>
        <v>38382.430809345358</v>
      </c>
      <c r="Q89" s="24">
        <f t="shared" ca="1" si="17"/>
        <v>2298721.0244133095</v>
      </c>
      <c r="R89" s="9">
        <f t="shared" si="18"/>
        <v>0.1298</v>
      </c>
    </row>
    <row r="90" spans="11:18" ht="15.75" x14ac:dyDescent="0.25">
      <c r="K90" s="29">
        <v>84</v>
      </c>
      <c r="L90" s="3">
        <f t="shared" si="14"/>
        <v>84</v>
      </c>
      <c r="M90" s="23">
        <f t="shared" ca="1" si="15"/>
        <v>47167</v>
      </c>
      <c r="N90" s="14">
        <f t="shared" ca="1" si="19"/>
        <v>13517.931728608062</v>
      </c>
      <c r="O90" s="14">
        <f t="shared" ca="1" si="16"/>
        <v>24864.499080737296</v>
      </c>
      <c r="P90" s="15">
        <f t="shared" ca="1" si="20"/>
        <v>38382.430809345358</v>
      </c>
      <c r="Q90" s="24">
        <f t="shared" ca="1" si="17"/>
        <v>2285203.0926847016</v>
      </c>
      <c r="R90" s="9">
        <f t="shared" si="18"/>
        <v>0.1298</v>
      </c>
    </row>
    <row r="91" spans="11:18" ht="15.75" x14ac:dyDescent="0.25">
      <c r="K91" s="29">
        <v>85</v>
      </c>
      <c r="L91" s="3">
        <f t="shared" si="14"/>
        <v>85</v>
      </c>
      <c r="M91" s="23">
        <f t="shared" ca="1" si="15"/>
        <v>47195</v>
      </c>
      <c r="N91" s="14">
        <f t="shared" ca="1" si="19"/>
        <v>13664.150690139169</v>
      </c>
      <c r="O91" s="14">
        <f t="shared" ca="1" si="16"/>
        <v>24718.280119206189</v>
      </c>
      <c r="P91" s="15">
        <f t="shared" ca="1" si="20"/>
        <v>51239.573679345354</v>
      </c>
      <c r="Q91" s="24">
        <f t="shared" ca="1" si="17"/>
        <v>2271538.9419945623</v>
      </c>
      <c r="R91" s="9">
        <f t="shared" si="18"/>
        <v>0.1298</v>
      </c>
    </row>
    <row r="92" spans="11:18" ht="15.75" x14ac:dyDescent="0.25">
      <c r="K92" s="29">
        <v>86</v>
      </c>
      <c r="L92" s="3">
        <f t="shared" si="14"/>
        <v>86</v>
      </c>
      <c r="M92" s="23">
        <f t="shared" ca="1" si="15"/>
        <v>47226</v>
      </c>
      <c r="N92" s="14">
        <f t="shared" ca="1" si="19"/>
        <v>13811.95125343751</v>
      </c>
      <c r="O92" s="14">
        <f t="shared" ca="1" si="16"/>
        <v>24570.479555907848</v>
      </c>
      <c r="P92" s="15">
        <f t="shared" ca="1" si="20"/>
        <v>38382.430809345358</v>
      </c>
      <c r="Q92" s="24">
        <f t="shared" ca="1" si="17"/>
        <v>2257726.9907411248</v>
      </c>
      <c r="R92" s="9">
        <f t="shared" si="18"/>
        <v>0.1298</v>
      </c>
    </row>
    <row r="93" spans="11:18" ht="15.75" x14ac:dyDescent="0.25">
      <c r="K93" s="29">
        <v>87</v>
      </c>
      <c r="L93" s="3">
        <f t="shared" si="14"/>
        <v>87</v>
      </c>
      <c r="M93" s="23">
        <f t="shared" ca="1" si="15"/>
        <v>47256</v>
      </c>
      <c r="N93" s="14">
        <f t="shared" ca="1" si="19"/>
        <v>13961.35052616219</v>
      </c>
      <c r="O93" s="14">
        <f t="shared" ca="1" si="16"/>
        <v>24421.080283183168</v>
      </c>
      <c r="P93" s="15">
        <f t="shared" ca="1" si="20"/>
        <v>38382.430809345358</v>
      </c>
      <c r="Q93" s="24">
        <f t="shared" ca="1" si="17"/>
        <v>2243765.6402149629</v>
      </c>
      <c r="R93" s="9">
        <f t="shared" si="18"/>
        <v>0.1298</v>
      </c>
    </row>
    <row r="94" spans="11:18" ht="15.75" x14ac:dyDescent="0.25">
      <c r="K94" s="29">
        <v>88</v>
      </c>
      <c r="L94" s="3">
        <f t="shared" si="14"/>
        <v>88</v>
      </c>
      <c r="M94" s="23">
        <f t="shared" ca="1" si="15"/>
        <v>47287</v>
      </c>
      <c r="N94" s="14">
        <f t="shared" ca="1" si="19"/>
        <v>14112.365801020176</v>
      </c>
      <c r="O94" s="14">
        <f t="shared" ca="1" si="16"/>
        <v>24270.065008325182</v>
      </c>
      <c r="P94" s="15">
        <f t="shared" ca="1" si="20"/>
        <v>38382.430809345358</v>
      </c>
      <c r="Q94" s="24">
        <f t="shared" ca="1" si="17"/>
        <v>2229653.2744139428</v>
      </c>
      <c r="R94" s="9">
        <f t="shared" si="18"/>
        <v>0.1298</v>
      </c>
    </row>
    <row r="95" spans="11:18" ht="15.75" x14ac:dyDescent="0.25">
      <c r="K95" s="29">
        <v>89</v>
      </c>
      <c r="L95" s="3">
        <f t="shared" si="14"/>
        <v>89</v>
      </c>
      <c r="M95" s="23">
        <f t="shared" ca="1" si="15"/>
        <v>47317</v>
      </c>
      <c r="N95" s="14">
        <f t="shared" ca="1" si="19"/>
        <v>14265.014557767878</v>
      </c>
      <c r="O95" s="14">
        <f t="shared" ca="1" si="16"/>
        <v>24117.416251577481</v>
      </c>
      <c r="P95" s="15">
        <f t="shared" ca="1" si="20"/>
        <v>38382.430809345358</v>
      </c>
      <c r="Q95" s="24">
        <f t="shared" ca="1" si="17"/>
        <v>2215388.2598561752</v>
      </c>
      <c r="R95" s="9">
        <f t="shared" si="18"/>
        <v>0.1298</v>
      </c>
    </row>
    <row r="96" spans="11:18" ht="15.75" x14ac:dyDescent="0.25">
      <c r="K96" s="29">
        <v>90</v>
      </c>
      <c r="L96" s="3">
        <f t="shared" si="14"/>
        <v>90</v>
      </c>
      <c r="M96" s="23">
        <f t="shared" ca="1" si="15"/>
        <v>47348</v>
      </c>
      <c r="N96" s="14">
        <f t="shared" ca="1" si="19"/>
        <v>14419.314465234394</v>
      </c>
      <c r="O96" s="14">
        <f t="shared" ca="1" si="16"/>
        <v>23963.116344110964</v>
      </c>
      <c r="P96" s="15">
        <f t="shared" ca="1" si="20"/>
        <v>38382.430809345358</v>
      </c>
      <c r="Q96" s="24">
        <f t="shared" ca="1" si="17"/>
        <v>2200968.9453909406</v>
      </c>
      <c r="R96" s="9">
        <f t="shared" si="18"/>
        <v>0.1298</v>
      </c>
    </row>
    <row r="97" spans="11:18" ht="15.75" x14ac:dyDescent="0.25">
      <c r="K97" s="29">
        <v>91</v>
      </c>
      <c r="L97" s="3">
        <f t="shared" si="14"/>
        <v>91</v>
      </c>
      <c r="M97" s="23">
        <f t="shared" ca="1" si="15"/>
        <v>47379</v>
      </c>
      <c r="N97" s="14">
        <f t="shared" ca="1" si="19"/>
        <v>14575.283383366685</v>
      </c>
      <c r="O97" s="14">
        <f t="shared" ca="1" si="16"/>
        <v>23807.147425978674</v>
      </c>
      <c r="P97" s="15">
        <f t="shared" ca="1" si="20"/>
        <v>38382.430809345358</v>
      </c>
      <c r="Q97" s="24">
        <f t="shared" ca="1" si="17"/>
        <v>2186393.662007574</v>
      </c>
      <c r="R97" s="9">
        <f t="shared" si="18"/>
        <v>0.1298</v>
      </c>
    </row>
    <row r="98" spans="11:18" ht="15.75" x14ac:dyDescent="0.25">
      <c r="K98" s="29">
        <v>92</v>
      </c>
      <c r="L98" s="3">
        <f t="shared" si="14"/>
        <v>92</v>
      </c>
      <c r="M98" s="23">
        <f t="shared" ca="1" si="15"/>
        <v>47409</v>
      </c>
      <c r="N98" s="14">
        <f t="shared" ca="1" si="19"/>
        <v>14732.939365296766</v>
      </c>
      <c r="O98" s="14">
        <f t="shared" ca="1" si="16"/>
        <v>23649.491444048592</v>
      </c>
      <c r="P98" s="15">
        <f t="shared" ca="1" si="20"/>
        <v>38382.430809345358</v>
      </c>
      <c r="Q98" s="24">
        <f t="shared" ca="1" si="17"/>
        <v>2171660.7226422774</v>
      </c>
      <c r="R98" s="9">
        <f t="shared" si="18"/>
        <v>0.1298</v>
      </c>
    </row>
    <row r="99" spans="11:18" ht="15.75" x14ac:dyDescent="0.25">
      <c r="K99" s="29">
        <v>93</v>
      </c>
      <c r="L99" s="3">
        <f t="shared" si="14"/>
        <v>93</v>
      </c>
      <c r="M99" s="23">
        <f t="shared" ca="1" si="15"/>
        <v>47440</v>
      </c>
      <c r="N99" s="14">
        <f t="shared" ca="1" si="19"/>
        <v>14892.300659431392</v>
      </c>
      <c r="O99" s="14">
        <f t="shared" ca="1" si="16"/>
        <v>23490.130149913966</v>
      </c>
      <c r="P99" s="15">
        <f t="shared" ca="1" si="20"/>
        <v>38382.430809345358</v>
      </c>
      <c r="Q99" s="24">
        <f t="shared" ca="1" si="17"/>
        <v>2156768.4219828458</v>
      </c>
      <c r="R99" s="9">
        <f t="shared" si="18"/>
        <v>0.1298</v>
      </c>
    </row>
    <row r="100" spans="11:18" ht="15.75" x14ac:dyDescent="0.25">
      <c r="K100" s="29">
        <v>94</v>
      </c>
      <c r="L100" s="3">
        <f t="shared" si="14"/>
        <v>94</v>
      </c>
      <c r="M100" s="23">
        <f t="shared" ca="1" si="15"/>
        <v>47470</v>
      </c>
      <c r="N100" s="14">
        <f t="shared" ca="1" si="19"/>
        <v>15053.385711564246</v>
      </c>
      <c r="O100" s="14">
        <f t="shared" ca="1" si="16"/>
        <v>23329.045097781112</v>
      </c>
      <c r="P100" s="15">
        <f t="shared" ca="1" si="20"/>
        <v>38382.430809345358</v>
      </c>
      <c r="Q100" s="24">
        <f t="shared" ca="1" si="17"/>
        <v>2141715.0362712815</v>
      </c>
      <c r="R100" s="9">
        <f t="shared" si="18"/>
        <v>0.1298</v>
      </c>
    </row>
    <row r="101" spans="11:18" ht="15.75" x14ac:dyDescent="0.25">
      <c r="K101" s="29">
        <v>95</v>
      </c>
      <c r="L101" s="3">
        <f t="shared" si="14"/>
        <v>95</v>
      </c>
      <c r="M101" s="23">
        <f t="shared" ca="1" si="15"/>
        <v>47501</v>
      </c>
      <c r="N101" s="14">
        <f t="shared" ca="1" si="19"/>
        <v>15216.213167010996</v>
      </c>
      <c r="O101" s="14">
        <f t="shared" ca="1" si="16"/>
        <v>23166.217642334363</v>
      </c>
      <c r="P101" s="15">
        <f t="shared" ca="1" si="20"/>
        <v>38382.430809345358</v>
      </c>
      <c r="Q101" s="24">
        <f t="shared" ca="1" si="17"/>
        <v>2126498.8231042707</v>
      </c>
      <c r="R101" s="9">
        <f t="shared" si="18"/>
        <v>0.1298</v>
      </c>
    </row>
    <row r="102" spans="11:18" ht="15.75" x14ac:dyDescent="0.25">
      <c r="K102" s="29">
        <v>96</v>
      </c>
      <c r="L102" s="3">
        <f t="shared" si="14"/>
        <v>96</v>
      </c>
      <c r="M102" s="23">
        <f t="shared" ca="1" si="15"/>
        <v>47532</v>
      </c>
      <c r="N102" s="14">
        <f t="shared" ca="1" si="19"/>
        <v>15380.801872767497</v>
      </c>
      <c r="O102" s="14">
        <f t="shared" ca="1" si="16"/>
        <v>23001.628936577861</v>
      </c>
      <c r="P102" s="15">
        <f t="shared" ca="1" si="20"/>
        <v>38382.430809345358</v>
      </c>
      <c r="Q102" s="24">
        <f t="shared" ca="1" si="17"/>
        <v>2111118.0212315032</v>
      </c>
      <c r="R102" s="9">
        <f t="shared" si="18"/>
        <v>0.1298</v>
      </c>
    </row>
    <row r="103" spans="11:18" ht="15.75" x14ac:dyDescent="0.25">
      <c r="K103" s="29">
        <v>97</v>
      </c>
      <c r="L103" s="3">
        <f t="shared" ref="L103:L134" si="21">IF(K103&gt;$C$14,"",K103)</f>
        <v>97</v>
      </c>
      <c r="M103" s="23">
        <f t="shared" ref="M103:M134" ca="1" si="22">IF(L103&lt;=$C$14,EDATE($M$6,L103),"")</f>
        <v>47560</v>
      </c>
      <c r="N103" s="14">
        <f t="shared" ca="1" si="19"/>
        <v>15547.170879691268</v>
      </c>
      <c r="O103" s="14">
        <f t="shared" ref="O103:O134" ca="1" si="23">IF(L103&lt;=$C$14,Q102*R103/12,"")</f>
        <v>22835.25992965409</v>
      </c>
      <c r="P103" s="15">
        <f t="shared" ca="1" si="20"/>
        <v>51239.573679345354</v>
      </c>
      <c r="Q103" s="24">
        <f t="shared" ref="Q103:Q134" ca="1" si="24">IF(M103="","",Q102-N103)</f>
        <v>2095570.8503518119</v>
      </c>
      <c r="R103" s="9">
        <f t="shared" ref="R103:R134" si="25">IF(L103&gt;$C$14,"",
IF(L103&gt;$C$34,$C$18,$C$16))</f>
        <v>0.1298</v>
      </c>
    </row>
    <row r="104" spans="11:18" ht="15.75" x14ac:dyDescent="0.25">
      <c r="K104" s="29">
        <v>98</v>
      </c>
      <c r="L104" s="3">
        <f t="shared" si="21"/>
        <v>98</v>
      </c>
      <c r="M104" s="23">
        <f t="shared" ca="1" si="22"/>
        <v>47591</v>
      </c>
      <c r="N104" s="14">
        <f t="shared" ref="N104:N135" ca="1" si="26">IF(M104="","",
IF($C$26="Стандарт",$C$12/$C$14,P104-IF(MOD(L104,12)=1,$G$8+$G$10,0)-O104))</f>
        <v>15715.339444706595</v>
      </c>
      <c r="O104" s="14">
        <f t="shared" ca="1" si="23"/>
        <v>22667.091364638763</v>
      </c>
      <c r="P104" s="15">
        <f t="shared" ref="P104:P135" ca="1" si="27">IF(M104="","",
IF($C$26="Стандарт",N104+O104+IF(MOD(L104,12)=1,$G$8+$G$10,0),$L$4+IF(MOD(L104,12)=1,$G$8+$G$10,0)
))</f>
        <v>38382.430809345358</v>
      </c>
      <c r="Q104" s="24">
        <f t="shared" ca="1" si="24"/>
        <v>2079855.5109071052</v>
      </c>
      <c r="R104" s="9">
        <f t="shared" si="25"/>
        <v>0.1298</v>
      </c>
    </row>
    <row r="105" spans="11:18" ht="15.75" x14ac:dyDescent="0.25">
      <c r="K105" s="29">
        <v>99</v>
      </c>
      <c r="L105" s="3">
        <f t="shared" si="21"/>
        <v>99</v>
      </c>
      <c r="M105" s="23">
        <f t="shared" ca="1" si="22"/>
        <v>47621</v>
      </c>
      <c r="N105" s="14">
        <f t="shared" ca="1" si="26"/>
        <v>15885.327033033504</v>
      </c>
      <c r="O105" s="14">
        <f t="shared" ca="1" si="23"/>
        <v>22497.103776311855</v>
      </c>
      <c r="P105" s="15">
        <f t="shared" ca="1" si="27"/>
        <v>38382.430809345358</v>
      </c>
      <c r="Q105" s="24">
        <f t="shared" ca="1" si="24"/>
        <v>2063970.1838740716</v>
      </c>
      <c r="R105" s="9">
        <f t="shared" si="25"/>
        <v>0.1298</v>
      </c>
    </row>
    <row r="106" spans="11:18" ht="15.75" x14ac:dyDescent="0.25">
      <c r="K106" s="29">
        <v>100</v>
      </c>
      <c r="L106" s="3">
        <f t="shared" si="21"/>
        <v>100</v>
      </c>
      <c r="M106" s="23">
        <f t="shared" ca="1" si="22"/>
        <v>47652</v>
      </c>
      <c r="N106" s="14">
        <f t="shared" ca="1" si="26"/>
        <v>16057.153320440819</v>
      </c>
      <c r="O106" s="14">
        <f t="shared" ca="1" si="23"/>
        <v>22325.277488904539</v>
      </c>
      <c r="P106" s="15">
        <f t="shared" ca="1" si="27"/>
        <v>38382.430809345358</v>
      </c>
      <c r="Q106" s="24">
        <f t="shared" ca="1" si="24"/>
        <v>2047913.0305536308</v>
      </c>
      <c r="R106" s="9">
        <f t="shared" si="25"/>
        <v>0.1298</v>
      </c>
    </row>
    <row r="107" spans="11:18" ht="15.75" x14ac:dyDescent="0.25">
      <c r="K107" s="29">
        <v>101</v>
      </c>
      <c r="L107" s="3">
        <f t="shared" si="21"/>
        <v>101</v>
      </c>
      <c r="M107" s="23">
        <f t="shared" ca="1" si="22"/>
        <v>47682</v>
      </c>
      <c r="N107" s="14">
        <f t="shared" ca="1" si="26"/>
        <v>16230.838195523585</v>
      </c>
      <c r="O107" s="14">
        <f t="shared" ca="1" si="23"/>
        <v>22151.592613821773</v>
      </c>
      <c r="P107" s="15">
        <f t="shared" ca="1" si="27"/>
        <v>38382.430809345358</v>
      </c>
      <c r="Q107" s="24">
        <f t="shared" ca="1" si="24"/>
        <v>2031682.1923581073</v>
      </c>
      <c r="R107" s="9">
        <f t="shared" si="25"/>
        <v>0.1298</v>
      </c>
    </row>
    <row r="108" spans="11:18" ht="15.75" x14ac:dyDescent="0.25">
      <c r="K108" s="29">
        <v>102</v>
      </c>
      <c r="L108" s="3">
        <f t="shared" si="21"/>
        <v>102</v>
      </c>
      <c r="M108" s="23">
        <f t="shared" ca="1" si="22"/>
        <v>47713</v>
      </c>
      <c r="N108" s="14">
        <f t="shared" ca="1" si="26"/>
        <v>16406.401762005164</v>
      </c>
      <c r="O108" s="14">
        <f t="shared" ca="1" si="23"/>
        <v>21976.029047340195</v>
      </c>
      <c r="P108" s="15">
        <f t="shared" ca="1" si="27"/>
        <v>38382.430809345358</v>
      </c>
      <c r="Q108" s="24">
        <f t="shared" ca="1" si="24"/>
        <v>2015275.7905961021</v>
      </c>
      <c r="R108" s="9">
        <f t="shared" si="25"/>
        <v>0.1298</v>
      </c>
    </row>
    <row r="109" spans="11:18" ht="15.75" x14ac:dyDescent="0.25">
      <c r="K109" s="29">
        <v>103</v>
      </c>
      <c r="L109" s="3">
        <f t="shared" si="21"/>
        <v>103</v>
      </c>
      <c r="M109" s="23">
        <f t="shared" ca="1" si="22"/>
        <v>47744</v>
      </c>
      <c r="N109" s="14">
        <f t="shared" ca="1" si="26"/>
        <v>16583.864341064185</v>
      </c>
      <c r="O109" s="14">
        <f t="shared" ca="1" si="23"/>
        <v>21798.566468281173</v>
      </c>
      <c r="P109" s="15">
        <f t="shared" ca="1" si="27"/>
        <v>38382.430809345358</v>
      </c>
      <c r="Q109" s="24">
        <f t="shared" ca="1" si="24"/>
        <v>1998691.926255038</v>
      </c>
      <c r="R109" s="9">
        <f t="shared" si="25"/>
        <v>0.1298</v>
      </c>
    </row>
    <row r="110" spans="11:18" ht="15.75" x14ac:dyDescent="0.25">
      <c r="K110" s="29">
        <v>104</v>
      </c>
      <c r="L110" s="3">
        <f t="shared" si="21"/>
        <v>104</v>
      </c>
      <c r="M110" s="23">
        <f t="shared" ca="1" si="22"/>
        <v>47774</v>
      </c>
      <c r="N110" s="14">
        <f t="shared" ca="1" si="26"/>
        <v>16763.246473686697</v>
      </c>
      <c r="O110" s="14">
        <f t="shared" ca="1" si="23"/>
        <v>21619.184335658661</v>
      </c>
      <c r="P110" s="15">
        <f t="shared" ca="1" si="27"/>
        <v>38382.430809345358</v>
      </c>
      <c r="Q110" s="24">
        <f t="shared" ca="1" si="24"/>
        <v>1981928.6797813512</v>
      </c>
      <c r="R110" s="9">
        <f t="shared" si="25"/>
        <v>0.1298</v>
      </c>
    </row>
    <row r="111" spans="11:18" ht="15.75" x14ac:dyDescent="0.25">
      <c r="K111" s="29">
        <v>105</v>
      </c>
      <c r="L111" s="3">
        <f t="shared" si="21"/>
        <v>105</v>
      </c>
      <c r="M111" s="23">
        <f t="shared" ca="1" si="22"/>
        <v>47805</v>
      </c>
      <c r="N111" s="14">
        <f t="shared" ca="1" si="26"/>
        <v>16944.568923043742</v>
      </c>
      <c r="O111" s="14">
        <f t="shared" ca="1" si="23"/>
        <v>21437.861886301616</v>
      </c>
      <c r="P111" s="15">
        <f t="shared" ca="1" si="27"/>
        <v>38382.430809345358</v>
      </c>
      <c r="Q111" s="24">
        <f t="shared" ca="1" si="24"/>
        <v>1964984.1108583075</v>
      </c>
      <c r="R111" s="9">
        <f t="shared" si="25"/>
        <v>0.1298</v>
      </c>
    </row>
    <row r="112" spans="11:18" ht="15.75" x14ac:dyDescent="0.25">
      <c r="K112" s="29">
        <v>106</v>
      </c>
      <c r="L112" s="3">
        <f t="shared" si="21"/>
        <v>106</v>
      </c>
      <c r="M112" s="23">
        <f t="shared" ca="1" si="22"/>
        <v>47835</v>
      </c>
      <c r="N112" s="14">
        <f t="shared" ca="1" si="26"/>
        <v>17127.852676894665</v>
      </c>
      <c r="O112" s="14">
        <f t="shared" ca="1" si="23"/>
        <v>21254.578132450693</v>
      </c>
      <c r="P112" s="15">
        <f t="shared" ca="1" si="27"/>
        <v>38382.430809345358</v>
      </c>
      <c r="Q112" s="24">
        <f t="shared" ca="1" si="24"/>
        <v>1947856.2581814127</v>
      </c>
      <c r="R112" s="9">
        <f t="shared" si="25"/>
        <v>0.1298</v>
      </c>
    </row>
    <row r="113" spans="11:18" ht="15.75" x14ac:dyDescent="0.25">
      <c r="K113" s="29">
        <v>107</v>
      </c>
      <c r="L113" s="3">
        <f t="shared" si="21"/>
        <v>107</v>
      </c>
      <c r="M113" s="23">
        <f t="shared" ca="1" si="22"/>
        <v>47866</v>
      </c>
      <c r="N113" s="14">
        <f t="shared" ca="1" si="26"/>
        <v>17313.118950016411</v>
      </c>
      <c r="O113" s="14">
        <f t="shared" ca="1" si="23"/>
        <v>21069.311859328947</v>
      </c>
      <c r="P113" s="15">
        <f t="shared" ca="1" si="27"/>
        <v>38382.430809345358</v>
      </c>
      <c r="Q113" s="24">
        <f t="shared" ca="1" si="24"/>
        <v>1930543.1392313964</v>
      </c>
      <c r="R113" s="9">
        <f t="shared" si="25"/>
        <v>0.1298</v>
      </c>
    </row>
    <row r="114" spans="11:18" ht="15.75" x14ac:dyDescent="0.25">
      <c r="K114" s="29">
        <v>108</v>
      </c>
      <c r="L114" s="3">
        <f t="shared" si="21"/>
        <v>108</v>
      </c>
      <c r="M114" s="23">
        <f t="shared" ca="1" si="22"/>
        <v>47897</v>
      </c>
      <c r="N114" s="14">
        <f t="shared" ca="1" si="26"/>
        <v>17500.389186659089</v>
      </c>
      <c r="O114" s="14">
        <f t="shared" ca="1" si="23"/>
        <v>20882.041622686269</v>
      </c>
      <c r="P114" s="15">
        <f t="shared" ca="1" si="27"/>
        <v>38382.430809345358</v>
      </c>
      <c r="Q114" s="24">
        <f t="shared" ca="1" si="24"/>
        <v>1913042.7500447372</v>
      </c>
      <c r="R114" s="9">
        <f t="shared" si="25"/>
        <v>0.1298</v>
      </c>
    </row>
    <row r="115" spans="11:18" ht="15.75" x14ac:dyDescent="0.25">
      <c r="K115" s="29">
        <v>109</v>
      </c>
      <c r="L115" s="3">
        <f t="shared" si="21"/>
        <v>109</v>
      </c>
      <c r="M115" s="23">
        <f t="shared" ca="1" si="22"/>
        <v>47925</v>
      </c>
      <c r="N115" s="14">
        <f t="shared" ca="1" si="26"/>
        <v>17689.685063028115</v>
      </c>
      <c r="O115" s="14">
        <f t="shared" ca="1" si="23"/>
        <v>20692.745746317243</v>
      </c>
      <c r="P115" s="15">
        <f t="shared" ca="1" si="27"/>
        <v>51239.573679345354</v>
      </c>
      <c r="Q115" s="24">
        <f t="shared" ca="1" si="24"/>
        <v>1895353.0649817092</v>
      </c>
      <c r="R115" s="9">
        <f t="shared" si="25"/>
        <v>0.1298</v>
      </c>
    </row>
    <row r="116" spans="11:18" ht="15.75" x14ac:dyDescent="0.25">
      <c r="K116" s="29">
        <v>110</v>
      </c>
      <c r="L116" s="3">
        <f t="shared" si="21"/>
        <v>110</v>
      </c>
      <c r="M116" s="23">
        <f t="shared" ca="1" si="22"/>
        <v>47956</v>
      </c>
      <c r="N116" s="14">
        <f t="shared" ca="1" si="26"/>
        <v>17881.028489793203</v>
      </c>
      <c r="O116" s="14">
        <f t="shared" ca="1" si="23"/>
        <v>20501.402319552155</v>
      </c>
      <c r="P116" s="15">
        <f t="shared" ca="1" si="27"/>
        <v>38382.430809345358</v>
      </c>
      <c r="Q116" s="24">
        <f t="shared" ca="1" si="24"/>
        <v>1877472.036491916</v>
      </c>
      <c r="R116" s="9">
        <f t="shared" si="25"/>
        <v>0.1298</v>
      </c>
    </row>
    <row r="117" spans="11:18" ht="15.75" x14ac:dyDescent="0.25">
      <c r="K117" s="29">
        <v>111</v>
      </c>
      <c r="L117" s="3">
        <f t="shared" si="21"/>
        <v>111</v>
      </c>
      <c r="M117" s="23">
        <f t="shared" ca="1" si="22"/>
        <v>47986</v>
      </c>
      <c r="N117" s="14">
        <f t="shared" ca="1" si="26"/>
        <v>18074.441614624466</v>
      </c>
      <c r="O117" s="14">
        <f t="shared" ca="1" si="23"/>
        <v>20307.989194720893</v>
      </c>
      <c r="P117" s="15">
        <f t="shared" ca="1" si="27"/>
        <v>38382.430809345358</v>
      </c>
      <c r="Q117" s="24">
        <f t="shared" ca="1" si="24"/>
        <v>1859397.5948772915</v>
      </c>
      <c r="R117" s="9">
        <f t="shared" si="25"/>
        <v>0.1298</v>
      </c>
    </row>
    <row r="118" spans="11:18" ht="15.75" x14ac:dyDescent="0.25">
      <c r="K118" s="29">
        <v>112</v>
      </c>
      <c r="L118" s="3">
        <f t="shared" si="21"/>
        <v>112</v>
      </c>
      <c r="M118" s="23">
        <f t="shared" ca="1" si="22"/>
        <v>48017</v>
      </c>
      <c r="N118" s="14">
        <f t="shared" ca="1" si="26"/>
        <v>18269.946824755989</v>
      </c>
      <c r="O118" s="14">
        <f t="shared" ca="1" si="23"/>
        <v>20112.483984589369</v>
      </c>
      <c r="P118" s="15">
        <f t="shared" ca="1" si="27"/>
        <v>38382.430809345358</v>
      </c>
      <c r="Q118" s="24">
        <f t="shared" ca="1" si="24"/>
        <v>1841127.6480525355</v>
      </c>
      <c r="R118" s="9">
        <f t="shared" si="25"/>
        <v>0.1298</v>
      </c>
    </row>
    <row r="119" spans="11:18" ht="15.75" x14ac:dyDescent="0.25">
      <c r="K119" s="29">
        <v>113</v>
      </c>
      <c r="L119" s="3">
        <f t="shared" si="21"/>
        <v>113</v>
      </c>
      <c r="M119" s="23">
        <f t="shared" ca="1" si="22"/>
        <v>48047</v>
      </c>
      <c r="N119" s="14">
        <f t="shared" ca="1" si="26"/>
        <v>18467.566749577101</v>
      </c>
      <c r="O119" s="14">
        <f t="shared" ca="1" si="23"/>
        <v>19914.864059768257</v>
      </c>
      <c r="P119" s="15">
        <f t="shared" ca="1" si="27"/>
        <v>38382.430809345358</v>
      </c>
      <c r="Q119" s="24">
        <f t="shared" ca="1" si="24"/>
        <v>1822660.0813029583</v>
      </c>
      <c r="R119" s="9">
        <f t="shared" si="25"/>
        <v>0.1298</v>
      </c>
    </row>
    <row r="120" spans="11:18" ht="15.75" x14ac:dyDescent="0.25">
      <c r="K120" s="29">
        <v>114</v>
      </c>
      <c r="L120" s="3">
        <f t="shared" si="21"/>
        <v>114</v>
      </c>
      <c r="M120" s="23">
        <f t="shared" ca="1" si="22"/>
        <v>48078</v>
      </c>
      <c r="N120" s="14">
        <f t="shared" ca="1" si="26"/>
        <v>18667.324263251692</v>
      </c>
      <c r="O120" s="14">
        <f t="shared" ca="1" si="23"/>
        <v>19715.106546093666</v>
      </c>
      <c r="P120" s="15">
        <f t="shared" ca="1" si="27"/>
        <v>38382.430809345358</v>
      </c>
      <c r="Q120" s="24">
        <f t="shared" ca="1" si="24"/>
        <v>1803992.7570397067</v>
      </c>
      <c r="R120" s="9">
        <f t="shared" si="25"/>
        <v>0.1298</v>
      </c>
    </row>
    <row r="121" spans="11:18" ht="15.75" x14ac:dyDescent="0.25">
      <c r="K121" s="29">
        <v>115</v>
      </c>
      <c r="L121" s="3">
        <f t="shared" si="21"/>
        <v>115</v>
      </c>
      <c r="M121" s="23">
        <f t="shared" ca="1" si="22"/>
        <v>48109</v>
      </c>
      <c r="N121" s="14">
        <f t="shared" ca="1" si="26"/>
        <v>18869.242487365864</v>
      </c>
      <c r="O121" s="14">
        <f t="shared" ca="1" si="23"/>
        <v>19513.188321979495</v>
      </c>
      <c r="P121" s="15">
        <f t="shared" ca="1" si="27"/>
        <v>38382.430809345358</v>
      </c>
      <c r="Q121" s="24">
        <f t="shared" ca="1" si="24"/>
        <v>1785123.5145523408</v>
      </c>
      <c r="R121" s="9">
        <f t="shared" si="25"/>
        <v>0.1298</v>
      </c>
    </row>
    <row r="122" spans="11:18" ht="15.75" x14ac:dyDescent="0.25">
      <c r="K122" s="29">
        <v>116</v>
      </c>
      <c r="L122" s="3">
        <f t="shared" si="21"/>
        <v>116</v>
      </c>
      <c r="M122" s="23">
        <f t="shared" ca="1" si="22"/>
        <v>48139</v>
      </c>
      <c r="N122" s="14">
        <f t="shared" ca="1" si="26"/>
        <v>19073.344793604203</v>
      </c>
      <c r="O122" s="14">
        <f t="shared" ca="1" si="23"/>
        <v>19309.086015741155</v>
      </c>
      <c r="P122" s="15">
        <f t="shared" ca="1" si="27"/>
        <v>38382.430809345358</v>
      </c>
      <c r="Q122" s="24">
        <f t="shared" ca="1" si="24"/>
        <v>1766050.1697587366</v>
      </c>
      <c r="R122" s="9">
        <f t="shared" si="25"/>
        <v>0.1298</v>
      </c>
    </row>
    <row r="123" spans="11:18" ht="15.75" x14ac:dyDescent="0.25">
      <c r="K123" s="29">
        <v>117</v>
      </c>
      <c r="L123" s="3">
        <f t="shared" si="21"/>
        <v>117</v>
      </c>
      <c r="M123" s="23">
        <f t="shared" ca="1" si="22"/>
        <v>48170</v>
      </c>
      <c r="N123" s="14">
        <f t="shared" ca="1" si="26"/>
        <v>19279.654806455026</v>
      </c>
      <c r="O123" s="14">
        <f t="shared" ca="1" si="23"/>
        <v>19102.776002890332</v>
      </c>
      <c r="P123" s="15">
        <f t="shared" ca="1" si="27"/>
        <v>38382.430809345358</v>
      </c>
      <c r="Q123" s="24">
        <f t="shared" ca="1" si="24"/>
        <v>1746770.5149522815</v>
      </c>
      <c r="R123" s="9">
        <f t="shared" si="25"/>
        <v>0.1298</v>
      </c>
    </row>
    <row r="124" spans="11:18" ht="15.75" x14ac:dyDescent="0.25">
      <c r="K124" s="29">
        <v>118</v>
      </c>
      <c r="L124" s="3">
        <f t="shared" si="21"/>
        <v>118</v>
      </c>
      <c r="M124" s="23">
        <f t="shared" ca="1" si="22"/>
        <v>48200</v>
      </c>
      <c r="N124" s="14">
        <f t="shared" ca="1" si="26"/>
        <v>19488.196405944847</v>
      </c>
      <c r="O124" s="14">
        <f t="shared" ca="1" si="23"/>
        <v>18894.234403400511</v>
      </c>
      <c r="P124" s="15">
        <f t="shared" ca="1" si="27"/>
        <v>38382.430809345358</v>
      </c>
      <c r="Q124" s="24">
        <f t="shared" ca="1" si="24"/>
        <v>1727282.3185463366</v>
      </c>
      <c r="R124" s="9">
        <f t="shared" si="25"/>
        <v>0.1298</v>
      </c>
    </row>
    <row r="125" spans="11:18" ht="15.75" x14ac:dyDescent="0.25">
      <c r="K125" s="29">
        <v>119</v>
      </c>
      <c r="L125" s="3">
        <f t="shared" si="21"/>
        <v>119</v>
      </c>
      <c r="M125" s="23">
        <f t="shared" ca="1" si="22"/>
        <v>48231</v>
      </c>
      <c r="N125" s="14">
        <f t="shared" ca="1" si="26"/>
        <v>19698.993730402482</v>
      </c>
      <c r="O125" s="14">
        <f t="shared" ca="1" si="23"/>
        <v>18683.437078942876</v>
      </c>
      <c r="P125" s="15">
        <f t="shared" ca="1" si="27"/>
        <v>38382.430809345358</v>
      </c>
      <c r="Q125" s="24">
        <f t="shared" ca="1" si="24"/>
        <v>1707583.3248159341</v>
      </c>
      <c r="R125" s="9">
        <f t="shared" si="25"/>
        <v>0.1298</v>
      </c>
    </row>
    <row r="126" spans="11:18" ht="15.75" x14ac:dyDescent="0.25">
      <c r="K126" s="29">
        <v>120</v>
      </c>
      <c r="L126" s="3">
        <f t="shared" si="21"/>
        <v>120</v>
      </c>
      <c r="M126" s="23">
        <f t="shared" ca="1" si="22"/>
        <v>48262</v>
      </c>
      <c r="N126" s="14">
        <f t="shared" ca="1" si="26"/>
        <v>19912.071179253006</v>
      </c>
      <c r="O126" s="14">
        <f t="shared" ca="1" si="23"/>
        <v>18470.359630092353</v>
      </c>
      <c r="P126" s="15">
        <f t="shared" ca="1" si="27"/>
        <v>38382.430809345358</v>
      </c>
      <c r="Q126" s="24">
        <f t="shared" ca="1" si="24"/>
        <v>1687671.253636681</v>
      </c>
      <c r="R126" s="9">
        <f t="shared" si="25"/>
        <v>0.1298</v>
      </c>
    </row>
    <row r="127" spans="11:18" ht="15.75" x14ac:dyDescent="0.25">
      <c r="K127" s="29">
        <v>121</v>
      </c>
      <c r="L127" s="3">
        <f t="shared" si="21"/>
        <v>121</v>
      </c>
      <c r="M127" s="23">
        <f t="shared" ca="1" si="22"/>
        <v>48291</v>
      </c>
      <c r="N127" s="14">
        <f t="shared" ca="1" si="26"/>
        <v>20127.453415841926</v>
      </c>
      <c r="O127" s="14">
        <f t="shared" ca="1" si="23"/>
        <v>18254.977393503432</v>
      </c>
      <c r="P127" s="15">
        <f t="shared" ca="1" si="27"/>
        <v>51239.573679345354</v>
      </c>
      <c r="Q127" s="24">
        <f t="shared" ca="1" si="24"/>
        <v>1667543.800220839</v>
      </c>
      <c r="R127" s="9">
        <f t="shared" si="25"/>
        <v>0.1298</v>
      </c>
    </row>
    <row r="128" spans="11:18" ht="15.75" x14ac:dyDescent="0.25">
      <c r="K128" s="29">
        <v>122</v>
      </c>
      <c r="L128" s="3">
        <f t="shared" si="21"/>
        <v>122</v>
      </c>
      <c r="M128" s="23">
        <f t="shared" ca="1" si="22"/>
        <v>48322</v>
      </c>
      <c r="N128" s="14">
        <f t="shared" ca="1" si="26"/>
        <v>20345.165370289949</v>
      </c>
      <c r="O128" s="14">
        <f t="shared" ca="1" si="23"/>
        <v>18037.265439055409</v>
      </c>
      <c r="P128" s="15">
        <f t="shared" ca="1" si="27"/>
        <v>38382.430809345358</v>
      </c>
      <c r="Q128" s="24">
        <f t="shared" ca="1" si="24"/>
        <v>1647198.634850549</v>
      </c>
      <c r="R128" s="9">
        <f t="shared" si="25"/>
        <v>0.1298</v>
      </c>
    </row>
    <row r="129" spans="11:18" ht="15.75" x14ac:dyDescent="0.25">
      <c r="K129" s="29">
        <v>123</v>
      </c>
      <c r="L129" s="3">
        <f t="shared" si="21"/>
        <v>123</v>
      </c>
      <c r="M129" s="23">
        <f t="shared" ca="1" si="22"/>
        <v>48352</v>
      </c>
      <c r="N129" s="14">
        <f t="shared" ca="1" si="26"/>
        <v>20565.232242378584</v>
      </c>
      <c r="O129" s="14">
        <f t="shared" ca="1" si="23"/>
        <v>17817.198566966774</v>
      </c>
      <c r="P129" s="15">
        <f t="shared" ca="1" si="27"/>
        <v>38382.430809345358</v>
      </c>
      <c r="Q129" s="24">
        <f t="shared" ca="1" si="24"/>
        <v>1626633.4026081704</v>
      </c>
      <c r="R129" s="9">
        <f t="shared" si="25"/>
        <v>0.1298</v>
      </c>
    </row>
    <row r="130" spans="11:18" ht="15.75" x14ac:dyDescent="0.25">
      <c r="K130" s="29">
        <v>124</v>
      </c>
      <c r="L130" s="3">
        <f t="shared" si="21"/>
        <v>124</v>
      </c>
      <c r="M130" s="23">
        <f t="shared" ca="1" si="22"/>
        <v>48383</v>
      </c>
      <c r="N130" s="14">
        <f t="shared" ca="1" si="26"/>
        <v>20787.679504466982</v>
      </c>
      <c r="O130" s="14">
        <f t="shared" ca="1" si="23"/>
        <v>17594.751304878377</v>
      </c>
      <c r="P130" s="15">
        <f t="shared" ca="1" si="27"/>
        <v>38382.430809345358</v>
      </c>
      <c r="Q130" s="24">
        <f t="shared" ca="1" si="24"/>
        <v>1605845.7231037035</v>
      </c>
      <c r="R130" s="9">
        <f t="shared" si="25"/>
        <v>0.1298</v>
      </c>
    </row>
    <row r="131" spans="11:18" ht="15.75" x14ac:dyDescent="0.25">
      <c r="K131" s="29">
        <v>125</v>
      </c>
      <c r="L131" s="3">
        <f t="shared" si="21"/>
        <v>125</v>
      </c>
      <c r="M131" s="23">
        <f t="shared" ca="1" si="22"/>
        <v>48413</v>
      </c>
      <c r="N131" s="14">
        <f t="shared" ca="1" si="26"/>
        <v>21012.532904440301</v>
      </c>
      <c r="O131" s="14">
        <f t="shared" ca="1" si="23"/>
        <v>17369.897904905058</v>
      </c>
      <c r="P131" s="15">
        <f t="shared" ca="1" si="27"/>
        <v>38382.430809345358</v>
      </c>
      <c r="Q131" s="24">
        <f t="shared" ca="1" si="24"/>
        <v>1584833.1901992632</v>
      </c>
      <c r="R131" s="9">
        <f t="shared" si="25"/>
        <v>0.1298</v>
      </c>
    </row>
    <row r="132" spans="11:18" ht="15.75" x14ac:dyDescent="0.25">
      <c r="K132" s="29">
        <v>126</v>
      </c>
      <c r="L132" s="3">
        <f t="shared" si="21"/>
        <v>126</v>
      </c>
      <c r="M132" s="23">
        <f t="shared" ca="1" si="22"/>
        <v>48444</v>
      </c>
      <c r="N132" s="14">
        <f t="shared" ca="1" si="26"/>
        <v>21239.818468689995</v>
      </c>
      <c r="O132" s="14">
        <f t="shared" ca="1" si="23"/>
        <v>17142.612340655363</v>
      </c>
      <c r="P132" s="15">
        <f t="shared" ca="1" si="27"/>
        <v>38382.430809345358</v>
      </c>
      <c r="Q132" s="24">
        <f t="shared" ca="1" si="24"/>
        <v>1563593.3717305732</v>
      </c>
      <c r="R132" s="9">
        <f t="shared" si="25"/>
        <v>0.1298</v>
      </c>
    </row>
    <row r="133" spans="11:18" ht="15.75" x14ac:dyDescent="0.25">
      <c r="K133" s="29">
        <v>127</v>
      </c>
      <c r="L133" s="3">
        <f t="shared" si="21"/>
        <v>127</v>
      </c>
      <c r="M133" s="23">
        <f t="shared" ca="1" si="22"/>
        <v>48475</v>
      </c>
      <c r="N133" s="14">
        <f t="shared" ca="1" si="26"/>
        <v>21469.562505126323</v>
      </c>
      <c r="O133" s="14">
        <f t="shared" ca="1" si="23"/>
        <v>16912.868304219035</v>
      </c>
      <c r="P133" s="15">
        <f t="shared" ca="1" si="27"/>
        <v>38382.430809345358</v>
      </c>
      <c r="Q133" s="24">
        <f t="shared" ca="1" si="24"/>
        <v>1542123.809225447</v>
      </c>
      <c r="R133" s="9">
        <f t="shared" si="25"/>
        <v>0.1298</v>
      </c>
    </row>
    <row r="134" spans="11:18" ht="15.75" x14ac:dyDescent="0.25">
      <c r="K134" s="29">
        <v>128</v>
      </c>
      <c r="L134" s="3">
        <f t="shared" si="21"/>
        <v>128</v>
      </c>
      <c r="M134" s="23">
        <f t="shared" ca="1" si="22"/>
        <v>48505</v>
      </c>
      <c r="N134" s="14">
        <f t="shared" ca="1" si="26"/>
        <v>21701.79160622344</v>
      </c>
      <c r="O134" s="14">
        <f t="shared" ca="1" si="23"/>
        <v>16680.639203121918</v>
      </c>
      <c r="P134" s="15">
        <f t="shared" ca="1" si="27"/>
        <v>38382.430809345358</v>
      </c>
      <c r="Q134" s="24">
        <f t="shared" ca="1" si="24"/>
        <v>1520422.0176192236</v>
      </c>
      <c r="R134" s="9">
        <f t="shared" si="25"/>
        <v>0.1298</v>
      </c>
    </row>
    <row r="135" spans="11:18" ht="15.75" x14ac:dyDescent="0.25">
      <c r="K135" s="29">
        <v>129</v>
      </c>
      <c r="L135" s="3">
        <f t="shared" ref="L135:L166" si="28">IF(K135&gt;$C$14,"",K135)</f>
        <v>129</v>
      </c>
      <c r="M135" s="23">
        <f t="shared" ref="M135:M166" ca="1" si="29">IF(L135&lt;=$C$14,EDATE($M$6,L135),"")</f>
        <v>48536</v>
      </c>
      <c r="N135" s="14">
        <f t="shared" ca="1" si="26"/>
        <v>21936.532652097423</v>
      </c>
      <c r="O135" s="14">
        <f t="shared" ref="O135:O166" ca="1" si="30">IF(L135&lt;=$C$14,Q134*R135/12,"")</f>
        <v>16445.898157247935</v>
      </c>
      <c r="P135" s="15">
        <f t="shared" ca="1" si="27"/>
        <v>38382.430809345358</v>
      </c>
      <c r="Q135" s="24">
        <f t="shared" ref="Q135:Q166" ca="1" si="31">IF(M135="","",Q134-N135)</f>
        <v>1498485.484967126</v>
      </c>
      <c r="R135" s="9">
        <f t="shared" ref="R135:R166" si="32">IF(L135&gt;$C$14,"",
IF(L135&gt;$C$34,$C$18,$C$16))</f>
        <v>0.1298</v>
      </c>
    </row>
    <row r="136" spans="11:18" ht="15.75" x14ac:dyDescent="0.25">
      <c r="K136" s="29">
        <v>130</v>
      </c>
      <c r="L136" s="3">
        <f t="shared" si="28"/>
        <v>130</v>
      </c>
      <c r="M136" s="23">
        <f t="shared" ca="1" si="29"/>
        <v>48566</v>
      </c>
      <c r="N136" s="14">
        <f t="shared" ref="N136:N167" ca="1" si="33">IF(M136="","",
IF($C$26="Стандарт",$C$12/$C$14,P136-IF(MOD(L136,12)=1,$G$8+$G$10,0)-O136))</f>
        <v>22173.812813617609</v>
      </c>
      <c r="O136" s="14">
        <f t="shared" ca="1" si="30"/>
        <v>16208.617995727747</v>
      </c>
      <c r="P136" s="15">
        <f t="shared" ref="P136:P167" ca="1" si="34">IF(M136="","",
IF($C$26="Стандарт",N136+O136+IF(MOD(L136,12)=1,$G$8+$G$10,0),$L$4+IF(MOD(L136,12)=1,$G$8+$G$10,0)
))</f>
        <v>38382.430809345358</v>
      </c>
      <c r="Q136" s="24">
        <f t="shared" ca="1" si="31"/>
        <v>1476311.6721535085</v>
      </c>
      <c r="R136" s="9">
        <f t="shared" si="32"/>
        <v>0.1298</v>
      </c>
    </row>
    <row r="137" spans="11:18" ht="15.75" x14ac:dyDescent="0.25">
      <c r="K137" s="29">
        <v>131</v>
      </c>
      <c r="L137" s="3">
        <f t="shared" si="28"/>
        <v>131</v>
      </c>
      <c r="M137" s="23">
        <f t="shared" ca="1" si="29"/>
        <v>48597</v>
      </c>
      <c r="N137" s="14">
        <f t="shared" ca="1" si="33"/>
        <v>22413.659555551574</v>
      </c>
      <c r="O137" s="14">
        <f t="shared" ca="1" si="30"/>
        <v>15968.771253793784</v>
      </c>
      <c r="P137" s="15">
        <f t="shared" ca="1" si="34"/>
        <v>38382.430809345358</v>
      </c>
      <c r="Q137" s="24">
        <f t="shared" ca="1" si="31"/>
        <v>1453898.0125979569</v>
      </c>
      <c r="R137" s="9">
        <f t="shared" si="32"/>
        <v>0.1298</v>
      </c>
    </row>
    <row r="138" spans="11:18" ht="15.75" x14ac:dyDescent="0.25">
      <c r="K138" s="29">
        <v>132</v>
      </c>
      <c r="L138" s="3">
        <f t="shared" si="28"/>
        <v>132</v>
      </c>
      <c r="M138" s="23">
        <f t="shared" ca="1" si="29"/>
        <v>48628</v>
      </c>
      <c r="N138" s="14">
        <f t="shared" ca="1" si="33"/>
        <v>22656.100639744123</v>
      </c>
      <c r="O138" s="14">
        <f t="shared" ca="1" si="30"/>
        <v>15726.330169601235</v>
      </c>
      <c r="P138" s="15">
        <f t="shared" ca="1" si="34"/>
        <v>38382.430809345358</v>
      </c>
      <c r="Q138" s="24">
        <f t="shared" ca="1" si="31"/>
        <v>1431241.9119582127</v>
      </c>
      <c r="R138" s="9">
        <f t="shared" si="32"/>
        <v>0.1298</v>
      </c>
    </row>
    <row r="139" spans="11:18" ht="15.75" x14ac:dyDescent="0.25">
      <c r="K139" s="29">
        <v>133</v>
      </c>
      <c r="L139" s="3">
        <f t="shared" si="28"/>
        <v>133</v>
      </c>
      <c r="M139" s="23">
        <f t="shared" ca="1" si="29"/>
        <v>48656</v>
      </c>
      <c r="N139" s="14">
        <f t="shared" ca="1" si="33"/>
        <v>22901.164128330689</v>
      </c>
      <c r="O139" s="14">
        <f t="shared" ca="1" si="30"/>
        <v>15481.266681014667</v>
      </c>
      <c r="P139" s="15">
        <f t="shared" ca="1" si="34"/>
        <v>51239.573679345354</v>
      </c>
      <c r="Q139" s="24">
        <f t="shared" ca="1" si="31"/>
        <v>1408340.747829882</v>
      </c>
      <c r="R139" s="9">
        <f t="shared" si="32"/>
        <v>0.1298</v>
      </c>
    </row>
    <row r="140" spans="11:18" ht="15.75" x14ac:dyDescent="0.25">
      <c r="K140" s="29">
        <v>134</v>
      </c>
      <c r="L140" s="3">
        <f t="shared" si="28"/>
        <v>134</v>
      </c>
      <c r="M140" s="23">
        <f t="shared" ca="1" si="29"/>
        <v>48687</v>
      </c>
      <c r="N140" s="14">
        <f t="shared" ca="1" si="33"/>
        <v>23148.878386985467</v>
      </c>
      <c r="O140" s="14">
        <f t="shared" ca="1" si="30"/>
        <v>15233.55242235989</v>
      </c>
      <c r="P140" s="15">
        <f t="shared" ca="1" si="34"/>
        <v>38382.430809345358</v>
      </c>
      <c r="Q140" s="24">
        <f t="shared" ca="1" si="31"/>
        <v>1385191.8694428965</v>
      </c>
      <c r="R140" s="9">
        <f t="shared" si="32"/>
        <v>0.1298</v>
      </c>
    </row>
    <row r="141" spans="11:18" ht="15.75" x14ac:dyDescent="0.25">
      <c r="K141" s="29">
        <v>135</v>
      </c>
      <c r="L141" s="3">
        <f t="shared" si="28"/>
        <v>135</v>
      </c>
      <c r="M141" s="23">
        <f t="shared" ca="1" si="29"/>
        <v>48717</v>
      </c>
      <c r="N141" s="14">
        <f t="shared" ca="1" si="33"/>
        <v>23399.272088204692</v>
      </c>
      <c r="O141" s="14">
        <f t="shared" ca="1" si="30"/>
        <v>14983.158721140664</v>
      </c>
      <c r="P141" s="15">
        <f t="shared" ca="1" si="34"/>
        <v>38382.430809345358</v>
      </c>
      <c r="Q141" s="24">
        <f t="shared" ca="1" si="31"/>
        <v>1361792.5973546917</v>
      </c>
      <c r="R141" s="9">
        <f t="shared" si="32"/>
        <v>0.1298</v>
      </c>
    </row>
    <row r="142" spans="11:18" ht="15.75" x14ac:dyDescent="0.25">
      <c r="K142" s="29">
        <v>136</v>
      </c>
      <c r="L142" s="3">
        <f t="shared" si="28"/>
        <v>136</v>
      </c>
      <c r="M142" s="23">
        <f t="shared" ca="1" si="29"/>
        <v>48748</v>
      </c>
      <c r="N142" s="14">
        <f t="shared" ca="1" si="33"/>
        <v>23652.374214625444</v>
      </c>
      <c r="O142" s="14">
        <f t="shared" ca="1" si="30"/>
        <v>14730.056594719916</v>
      </c>
      <c r="P142" s="15">
        <f t="shared" ca="1" si="34"/>
        <v>38382.430809345358</v>
      </c>
      <c r="Q142" s="24">
        <f t="shared" ca="1" si="31"/>
        <v>1338140.2231400663</v>
      </c>
      <c r="R142" s="9">
        <f t="shared" si="32"/>
        <v>0.1298</v>
      </c>
    </row>
    <row r="143" spans="11:18" ht="15.75" x14ac:dyDescent="0.25">
      <c r="K143" s="29">
        <v>137</v>
      </c>
      <c r="L143" s="3">
        <f t="shared" si="28"/>
        <v>137</v>
      </c>
      <c r="M143" s="23">
        <f t="shared" ca="1" si="29"/>
        <v>48778</v>
      </c>
      <c r="N143" s="14">
        <f t="shared" ca="1" si="33"/>
        <v>23908.214062380306</v>
      </c>
      <c r="O143" s="14">
        <f t="shared" ca="1" si="30"/>
        <v>14474.21674696505</v>
      </c>
      <c r="P143" s="15">
        <f t="shared" ca="1" si="34"/>
        <v>38382.430809345358</v>
      </c>
      <c r="Q143" s="24">
        <f t="shared" ca="1" si="31"/>
        <v>1314232.0090776859</v>
      </c>
      <c r="R143" s="9">
        <f t="shared" si="32"/>
        <v>0.1298</v>
      </c>
    </row>
    <row r="144" spans="11:18" ht="15.75" x14ac:dyDescent="0.25">
      <c r="K144" s="29">
        <v>138</v>
      </c>
      <c r="L144" s="3">
        <f t="shared" si="28"/>
        <v>138</v>
      </c>
      <c r="M144" s="23">
        <f t="shared" ca="1" si="29"/>
        <v>48809</v>
      </c>
      <c r="N144" s="14">
        <f t="shared" ca="1" si="33"/>
        <v>24166.82124448839</v>
      </c>
      <c r="O144" s="14">
        <f t="shared" ca="1" si="30"/>
        <v>14215.609564856968</v>
      </c>
      <c r="P144" s="15">
        <f t="shared" ca="1" si="34"/>
        <v>38382.430809345358</v>
      </c>
      <c r="Q144" s="24">
        <f t="shared" ca="1" si="31"/>
        <v>1290065.1878331974</v>
      </c>
      <c r="R144" s="9">
        <f t="shared" si="32"/>
        <v>0.1298</v>
      </c>
    </row>
    <row r="145" spans="11:18" ht="15.75" x14ac:dyDescent="0.25">
      <c r="K145" s="29">
        <v>139</v>
      </c>
      <c r="L145" s="3">
        <f t="shared" si="28"/>
        <v>139</v>
      </c>
      <c r="M145" s="23">
        <f t="shared" ca="1" si="29"/>
        <v>48840</v>
      </c>
      <c r="N145" s="14">
        <f t="shared" ca="1" si="33"/>
        <v>24428.225694282941</v>
      </c>
      <c r="O145" s="14">
        <f t="shared" ca="1" si="30"/>
        <v>13954.205115062417</v>
      </c>
      <c r="P145" s="15">
        <f t="shared" ca="1" si="34"/>
        <v>38382.430809345358</v>
      </c>
      <c r="Q145" s="24">
        <f t="shared" ca="1" si="31"/>
        <v>1265636.9621389145</v>
      </c>
      <c r="R145" s="9">
        <f t="shared" si="32"/>
        <v>0.1298</v>
      </c>
    </row>
    <row r="146" spans="11:18" ht="15.75" x14ac:dyDescent="0.25">
      <c r="K146" s="29">
        <v>140</v>
      </c>
      <c r="L146" s="3">
        <f t="shared" si="28"/>
        <v>140</v>
      </c>
      <c r="M146" s="23">
        <f t="shared" ca="1" si="29"/>
        <v>48870</v>
      </c>
      <c r="N146" s="14">
        <f t="shared" ca="1" si="33"/>
        <v>24692.457668876101</v>
      </c>
      <c r="O146" s="14">
        <f t="shared" ca="1" si="30"/>
        <v>13689.973140469257</v>
      </c>
      <c r="P146" s="15">
        <f t="shared" ca="1" si="34"/>
        <v>38382.430809345358</v>
      </c>
      <c r="Q146" s="24">
        <f t="shared" ca="1" si="31"/>
        <v>1240944.5044700385</v>
      </c>
      <c r="R146" s="9">
        <f t="shared" si="32"/>
        <v>0.1298</v>
      </c>
    </row>
    <row r="147" spans="11:18" ht="15.75" x14ac:dyDescent="0.25">
      <c r="K147" s="29">
        <v>141</v>
      </c>
      <c r="L147" s="3">
        <f t="shared" si="28"/>
        <v>141</v>
      </c>
      <c r="M147" s="23">
        <f t="shared" ca="1" si="29"/>
        <v>48901</v>
      </c>
      <c r="N147" s="14">
        <f t="shared" ca="1" si="33"/>
        <v>24959.547752661107</v>
      </c>
      <c r="O147" s="14">
        <f t="shared" ca="1" si="30"/>
        <v>13422.88305668425</v>
      </c>
      <c r="P147" s="15">
        <f t="shared" ca="1" si="34"/>
        <v>38382.430809345358</v>
      </c>
      <c r="Q147" s="24">
        <f t="shared" ca="1" si="31"/>
        <v>1215984.9567173773</v>
      </c>
      <c r="R147" s="9">
        <f t="shared" si="32"/>
        <v>0.1298</v>
      </c>
    </row>
    <row r="148" spans="11:18" ht="15.75" x14ac:dyDescent="0.25">
      <c r="K148" s="29">
        <v>142</v>
      </c>
      <c r="L148" s="3">
        <f t="shared" si="28"/>
        <v>142</v>
      </c>
      <c r="M148" s="23">
        <f t="shared" ca="1" si="29"/>
        <v>48931</v>
      </c>
      <c r="N148" s="14">
        <f t="shared" ca="1" si="33"/>
        <v>25229.526860852391</v>
      </c>
      <c r="O148" s="14">
        <f t="shared" ca="1" si="30"/>
        <v>13152.903948492965</v>
      </c>
      <c r="P148" s="15">
        <f t="shared" ca="1" si="34"/>
        <v>38382.430809345358</v>
      </c>
      <c r="Q148" s="24">
        <f t="shared" ca="1" si="31"/>
        <v>1190755.4298565248</v>
      </c>
      <c r="R148" s="9">
        <f t="shared" si="32"/>
        <v>0.1298</v>
      </c>
    </row>
    <row r="149" spans="11:18" ht="15.75" x14ac:dyDescent="0.25">
      <c r="K149" s="29">
        <v>143</v>
      </c>
      <c r="L149" s="3">
        <f t="shared" si="28"/>
        <v>143</v>
      </c>
      <c r="M149" s="23">
        <f t="shared" ca="1" si="29"/>
        <v>48962</v>
      </c>
      <c r="N149" s="14">
        <f t="shared" ca="1" si="33"/>
        <v>25502.42624306395</v>
      </c>
      <c r="O149" s="14">
        <f t="shared" ca="1" si="30"/>
        <v>12880.00456628141</v>
      </c>
      <c r="P149" s="15">
        <f t="shared" ca="1" si="34"/>
        <v>38382.430809345358</v>
      </c>
      <c r="Q149" s="24">
        <f t="shared" ca="1" si="31"/>
        <v>1165253.0036134608</v>
      </c>
      <c r="R149" s="9">
        <f t="shared" si="32"/>
        <v>0.1298</v>
      </c>
    </row>
    <row r="150" spans="11:18" ht="15.75" x14ac:dyDescent="0.25">
      <c r="K150" s="29">
        <v>144</v>
      </c>
      <c r="L150" s="3">
        <f t="shared" si="28"/>
        <v>144</v>
      </c>
      <c r="M150" s="23">
        <f t="shared" ca="1" si="29"/>
        <v>48993</v>
      </c>
      <c r="N150" s="14">
        <f t="shared" ca="1" si="33"/>
        <v>25778.277486926425</v>
      </c>
      <c r="O150" s="14">
        <f t="shared" ca="1" si="30"/>
        <v>12604.153322418933</v>
      </c>
      <c r="P150" s="15">
        <f t="shared" ca="1" si="34"/>
        <v>38382.430809345358</v>
      </c>
      <c r="Q150" s="24">
        <f t="shared" ca="1" si="31"/>
        <v>1139474.7261265344</v>
      </c>
      <c r="R150" s="9">
        <f t="shared" si="32"/>
        <v>0.1298</v>
      </c>
    </row>
    <row r="151" spans="11:18" ht="15.75" x14ac:dyDescent="0.25">
      <c r="K151" s="29">
        <v>145</v>
      </c>
      <c r="L151" s="3">
        <f t="shared" si="28"/>
        <v>145</v>
      </c>
      <c r="M151" s="23">
        <f t="shared" ca="1" si="29"/>
        <v>49021</v>
      </c>
      <c r="N151" s="14">
        <f t="shared" ca="1" si="33"/>
        <v>26057.112521743344</v>
      </c>
      <c r="O151" s="14">
        <f t="shared" ca="1" si="30"/>
        <v>12325.318287602015</v>
      </c>
      <c r="P151" s="15">
        <f t="shared" ca="1" si="34"/>
        <v>51239.573679345354</v>
      </c>
      <c r="Q151" s="24">
        <f t="shared" ca="1" si="31"/>
        <v>1113417.613604791</v>
      </c>
      <c r="R151" s="9">
        <f t="shared" si="32"/>
        <v>0.1298</v>
      </c>
    </row>
    <row r="152" spans="11:18" ht="15.75" x14ac:dyDescent="0.25">
      <c r="K152" s="29">
        <v>146</v>
      </c>
      <c r="L152" s="3">
        <f t="shared" si="28"/>
        <v>146</v>
      </c>
      <c r="M152" s="23">
        <f t="shared" ca="1" si="29"/>
        <v>49052</v>
      </c>
      <c r="N152" s="14">
        <f t="shared" ca="1" si="33"/>
        <v>26338.963622186871</v>
      </c>
      <c r="O152" s="14">
        <f t="shared" ca="1" si="30"/>
        <v>12043.467187158489</v>
      </c>
      <c r="P152" s="15">
        <f t="shared" ca="1" si="34"/>
        <v>38382.430809345358</v>
      </c>
      <c r="Q152" s="24">
        <f t="shared" ca="1" si="31"/>
        <v>1087078.6499826042</v>
      </c>
      <c r="R152" s="9">
        <f t="shared" si="32"/>
        <v>0.1298</v>
      </c>
    </row>
    <row r="153" spans="11:18" ht="15.75" x14ac:dyDescent="0.25">
      <c r="K153" s="29">
        <v>147</v>
      </c>
      <c r="L153" s="3">
        <f t="shared" si="28"/>
        <v>147</v>
      </c>
      <c r="M153" s="23">
        <f t="shared" ca="1" si="29"/>
        <v>49082</v>
      </c>
      <c r="N153" s="14">
        <f t="shared" ca="1" si="33"/>
        <v>26623.863412033526</v>
      </c>
      <c r="O153" s="14">
        <f t="shared" ca="1" si="30"/>
        <v>11758.567397311834</v>
      </c>
      <c r="P153" s="15">
        <f t="shared" ca="1" si="34"/>
        <v>38382.430809345358</v>
      </c>
      <c r="Q153" s="24">
        <f t="shared" ca="1" si="31"/>
        <v>1060454.7865705707</v>
      </c>
      <c r="R153" s="9">
        <f t="shared" si="32"/>
        <v>0.1298</v>
      </c>
    </row>
    <row r="154" spans="11:18" ht="15.75" x14ac:dyDescent="0.25">
      <c r="K154" s="29">
        <v>148</v>
      </c>
      <c r="L154" s="3">
        <f t="shared" si="28"/>
        <v>148</v>
      </c>
      <c r="M154" s="23">
        <f t="shared" ca="1" si="29"/>
        <v>49113</v>
      </c>
      <c r="N154" s="14">
        <f t="shared" ca="1" si="33"/>
        <v>26911.844867940352</v>
      </c>
      <c r="O154" s="14">
        <f t="shared" ca="1" si="30"/>
        <v>11470.585941405006</v>
      </c>
      <c r="P154" s="15">
        <f t="shared" ca="1" si="34"/>
        <v>38382.430809345358</v>
      </c>
      <c r="Q154" s="24">
        <f t="shared" ca="1" si="31"/>
        <v>1033542.9417026304</v>
      </c>
      <c r="R154" s="9">
        <f t="shared" si="32"/>
        <v>0.1298</v>
      </c>
    </row>
    <row r="155" spans="11:18" ht="15.75" x14ac:dyDescent="0.25">
      <c r="K155" s="29">
        <v>149</v>
      </c>
      <c r="L155" s="3">
        <f t="shared" si="28"/>
        <v>149</v>
      </c>
      <c r="M155" s="23">
        <f t="shared" ca="1" si="29"/>
        <v>49143</v>
      </c>
      <c r="N155" s="14">
        <f t="shared" ca="1" si="33"/>
        <v>27202.941323261904</v>
      </c>
      <c r="O155" s="14">
        <f t="shared" ca="1" si="30"/>
        <v>11179.489486083452</v>
      </c>
      <c r="P155" s="15">
        <f t="shared" ca="1" si="34"/>
        <v>38382.430809345358</v>
      </c>
      <c r="Q155" s="24">
        <f t="shared" ca="1" si="31"/>
        <v>1006340.0003793684</v>
      </c>
      <c r="R155" s="9">
        <f t="shared" si="32"/>
        <v>0.1298</v>
      </c>
    </row>
    <row r="156" spans="11:18" ht="15.75" x14ac:dyDescent="0.25">
      <c r="K156" s="29">
        <v>150</v>
      </c>
      <c r="L156" s="3">
        <f t="shared" si="28"/>
        <v>150</v>
      </c>
      <c r="M156" s="23">
        <f t="shared" ca="1" si="29"/>
        <v>49174</v>
      </c>
      <c r="N156" s="14">
        <f t="shared" ca="1" si="33"/>
        <v>27497.186471908521</v>
      </c>
      <c r="O156" s="14">
        <f t="shared" ca="1" si="30"/>
        <v>10885.244337436836</v>
      </c>
      <c r="P156" s="15">
        <f t="shared" ca="1" si="34"/>
        <v>38382.430809345358</v>
      </c>
      <c r="Q156" s="24">
        <f t="shared" ca="1" si="31"/>
        <v>978842.81390745996</v>
      </c>
      <c r="R156" s="9">
        <f t="shared" si="32"/>
        <v>0.1298</v>
      </c>
    </row>
    <row r="157" spans="11:18" ht="15.75" x14ac:dyDescent="0.25">
      <c r="K157" s="29">
        <v>151</v>
      </c>
      <c r="L157" s="3">
        <f t="shared" si="28"/>
        <v>151</v>
      </c>
      <c r="M157" s="23">
        <f t="shared" ca="1" si="29"/>
        <v>49205</v>
      </c>
      <c r="N157" s="14">
        <f t="shared" ca="1" si="33"/>
        <v>27794.614372246331</v>
      </c>
      <c r="O157" s="14">
        <f t="shared" ca="1" si="30"/>
        <v>10587.816437099025</v>
      </c>
      <c r="P157" s="15">
        <f t="shared" ca="1" si="34"/>
        <v>38382.430809345358</v>
      </c>
      <c r="Q157" s="24">
        <f t="shared" ca="1" si="31"/>
        <v>951048.19953521364</v>
      </c>
      <c r="R157" s="9">
        <f t="shared" si="32"/>
        <v>0.1298</v>
      </c>
    </row>
    <row r="158" spans="11:18" ht="15.75" x14ac:dyDescent="0.25">
      <c r="K158" s="29">
        <v>152</v>
      </c>
      <c r="L158" s="3">
        <f t="shared" si="28"/>
        <v>152</v>
      </c>
      <c r="M158" s="23">
        <f t="shared" ca="1" si="29"/>
        <v>49235</v>
      </c>
      <c r="N158" s="14">
        <f t="shared" ca="1" si="33"/>
        <v>28095.259451039463</v>
      </c>
      <c r="O158" s="14">
        <f t="shared" ca="1" si="30"/>
        <v>10287.171358305894</v>
      </c>
      <c r="P158" s="15">
        <f t="shared" ca="1" si="34"/>
        <v>38382.430809345358</v>
      </c>
      <c r="Q158" s="24">
        <f t="shared" ca="1" si="31"/>
        <v>922952.94008417416</v>
      </c>
      <c r="R158" s="9">
        <f t="shared" si="32"/>
        <v>0.1298</v>
      </c>
    </row>
    <row r="159" spans="11:18" ht="15.75" x14ac:dyDescent="0.25">
      <c r="K159" s="29">
        <v>153</v>
      </c>
      <c r="L159" s="3">
        <f t="shared" si="28"/>
        <v>153</v>
      </c>
      <c r="M159" s="23">
        <f t="shared" ca="1" si="29"/>
        <v>49266</v>
      </c>
      <c r="N159" s="14">
        <f t="shared" ca="1" si="33"/>
        <v>28399.156507434876</v>
      </c>
      <c r="O159" s="14">
        <f t="shared" ca="1" si="30"/>
        <v>9983.2743019104837</v>
      </c>
      <c r="P159" s="15">
        <f t="shared" ca="1" si="34"/>
        <v>38382.430809345358</v>
      </c>
      <c r="Q159" s="24">
        <f t="shared" ca="1" si="31"/>
        <v>894553.78357673925</v>
      </c>
      <c r="R159" s="9">
        <f t="shared" si="32"/>
        <v>0.1298</v>
      </c>
    </row>
    <row r="160" spans="11:18" ht="15.75" x14ac:dyDescent="0.25">
      <c r="K160" s="29">
        <v>154</v>
      </c>
      <c r="L160" s="3">
        <f t="shared" si="28"/>
        <v>154</v>
      </c>
      <c r="M160" s="23">
        <f t="shared" ca="1" si="29"/>
        <v>49296</v>
      </c>
      <c r="N160" s="14">
        <f t="shared" ca="1" si="33"/>
        <v>28706.340716990293</v>
      </c>
      <c r="O160" s="14">
        <f t="shared" ca="1" si="30"/>
        <v>9676.0900923550635</v>
      </c>
      <c r="P160" s="15">
        <f t="shared" ca="1" si="34"/>
        <v>38382.430809345358</v>
      </c>
      <c r="Q160" s="24">
        <f t="shared" ca="1" si="31"/>
        <v>865847.44285974896</v>
      </c>
      <c r="R160" s="9">
        <f t="shared" si="32"/>
        <v>0.1298</v>
      </c>
    </row>
    <row r="161" spans="11:18" ht="15.75" x14ac:dyDescent="0.25">
      <c r="K161" s="29">
        <v>155</v>
      </c>
      <c r="L161" s="3">
        <f t="shared" si="28"/>
        <v>155</v>
      </c>
      <c r="M161" s="23">
        <f t="shared" ca="1" si="29"/>
        <v>49327</v>
      </c>
      <c r="N161" s="14">
        <f t="shared" ca="1" si="33"/>
        <v>29016.84763574574</v>
      </c>
      <c r="O161" s="14">
        <f t="shared" ca="1" si="30"/>
        <v>9365.583173599618</v>
      </c>
      <c r="P161" s="15">
        <f t="shared" ca="1" si="34"/>
        <v>38382.430809345358</v>
      </c>
      <c r="Q161" s="24">
        <f t="shared" ca="1" si="31"/>
        <v>836830.59522400319</v>
      </c>
      <c r="R161" s="9">
        <f t="shared" si="32"/>
        <v>0.1298</v>
      </c>
    </row>
    <row r="162" spans="11:18" ht="15.75" x14ac:dyDescent="0.25">
      <c r="K162" s="29">
        <v>156</v>
      </c>
      <c r="L162" s="3">
        <f t="shared" si="28"/>
        <v>156</v>
      </c>
      <c r="M162" s="23">
        <f t="shared" ca="1" si="29"/>
        <v>49358</v>
      </c>
      <c r="N162" s="14">
        <f t="shared" ca="1" si="33"/>
        <v>29330.713204339059</v>
      </c>
      <c r="O162" s="14">
        <f t="shared" ca="1" si="30"/>
        <v>9051.7176050063008</v>
      </c>
      <c r="P162" s="15">
        <f t="shared" ca="1" si="34"/>
        <v>38382.430809345358</v>
      </c>
      <c r="Q162" s="24">
        <f t="shared" ca="1" si="31"/>
        <v>807499.88201966416</v>
      </c>
      <c r="R162" s="9">
        <f t="shared" si="32"/>
        <v>0.1298</v>
      </c>
    </row>
    <row r="163" spans="11:18" ht="15.75" x14ac:dyDescent="0.25">
      <c r="K163" s="29">
        <v>157</v>
      </c>
      <c r="L163" s="3">
        <f t="shared" si="28"/>
        <v>157</v>
      </c>
      <c r="M163" s="23">
        <f t="shared" ca="1" si="29"/>
        <v>49386</v>
      </c>
      <c r="N163" s="14">
        <f t="shared" ca="1" si="33"/>
        <v>29647.973752165992</v>
      </c>
      <c r="O163" s="14">
        <f t="shared" ca="1" si="30"/>
        <v>8734.4570571793683</v>
      </c>
      <c r="P163" s="15">
        <f t="shared" ca="1" si="34"/>
        <v>51239.573679345354</v>
      </c>
      <c r="Q163" s="24">
        <f t="shared" ca="1" si="31"/>
        <v>777851.90826749813</v>
      </c>
      <c r="R163" s="9">
        <f t="shared" si="32"/>
        <v>0.1298</v>
      </c>
    </row>
    <row r="164" spans="11:18" ht="15.75" x14ac:dyDescent="0.25">
      <c r="K164" s="29">
        <v>158</v>
      </c>
      <c r="L164" s="3">
        <f t="shared" si="28"/>
        <v>158</v>
      </c>
      <c r="M164" s="23">
        <f t="shared" ca="1" si="29"/>
        <v>49417</v>
      </c>
      <c r="N164" s="14">
        <f t="shared" ca="1" si="33"/>
        <v>29968.666001585254</v>
      </c>
      <c r="O164" s="14">
        <f t="shared" ca="1" si="30"/>
        <v>8413.7648077601043</v>
      </c>
      <c r="P164" s="15">
        <f t="shared" ca="1" si="34"/>
        <v>38382.430809345358</v>
      </c>
      <c r="Q164" s="24">
        <f t="shared" ca="1" si="31"/>
        <v>747883.24226591294</v>
      </c>
      <c r="R164" s="9">
        <f t="shared" si="32"/>
        <v>0.1298</v>
      </c>
    </row>
    <row r="165" spans="11:18" ht="15.75" x14ac:dyDescent="0.25">
      <c r="K165" s="29">
        <v>159</v>
      </c>
      <c r="L165" s="3">
        <f t="shared" si="28"/>
        <v>159</v>
      </c>
      <c r="M165" s="23">
        <f t="shared" ca="1" si="29"/>
        <v>49447</v>
      </c>
      <c r="N165" s="14">
        <f t="shared" ca="1" si="33"/>
        <v>30292.827072169068</v>
      </c>
      <c r="O165" s="14">
        <f t="shared" ca="1" si="30"/>
        <v>8089.6037371762914</v>
      </c>
      <c r="P165" s="15">
        <f t="shared" ca="1" si="34"/>
        <v>38382.430809345358</v>
      </c>
      <c r="Q165" s="24">
        <f t="shared" ca="1" si="31"/>
        <v>717590.41519374389</v>
      </c>
      <c r="R165" s="9">
        <f t="shared" si="32"/>
        <v>0.1298</v>
      </c>
    </row>
    <row r="166" spans="11:18" ht="15.75" x14ac:dyDescent="0.25">
      <c r="K166" s="29">
        <v>160</v>
      </c>
      <c r="L166" s="3">
        <f t="shared" si="28"/>
        <v>160</v>
      </c>
      <c r="M166" s="23">
        <f t="shared" ca="1" si="29"/>
        <v>49478</v>
      </c>
      <c r="N166" s="14">
        <f t="shared" ca="1" si="33"/>
        <v>30620.494484999694</v>
      </c>
      <c r="O166" s="14">
        <f t="shared" ca="1" si="30"/>
        <v>7761.9363243456637</v>
      </c>
      <c r="P166" s="15">
        <f t="shared" ca="1" si="34"/>
        <v>38382.430809345358</v>
      </c>
      <c r="Q166" s="24">
        <f t="shared" ca="1" si="31"/>
        <v>686969.9207087442</v>
      </c>
      <c r="R166" s="9">
        <f t="shared" si="32"/>
        <v>0.1298</v>
      </c>
    </row>
    <row r="167" spans="11:18" ht="15.75" x14ac:dyDescent="0.25">
      <c r="K167" s="29">
        <v>161</v>
      </c>
      <c r="L167" s="3">
        <f t="shared" ref="L167:L186" si="35">IF(K167&gt;$C$14,"",K167)</f>
        <v>161</v>
      </c>
      <c r="M167" s="23">
        <f t="shared" ref="M167:M186" ca="1" si="36">IF(L167&lt;=$C$14,EDATE($M$6,L167),"")</f>
        <v>49508</v>
      </c>
      <c r="N167" s="14">
        <f t="shared" ca="1" si="33"/>
        <v>30951.706167012442</v>
      </c>
      <c r="O167" s="14">
        <f t="shared" ref="O167:O186" ca="1" si="37">IF(L167&lt;=$C$14,Q166*R167/12,"")</f>
        <v>7430.7246423329161</v>
      </c>
      <c r="P167" s="15">
        <f t="shared" ca="1" si="34"/>
        <v>38382.430809345358</v>
      </c>
      <c r="Q167" s="24">
        <f t="shared" ref="Q167:Q186" ca="1" si="38">IF(M167="","",Q166-N167)</f>
        <v>656018.21454173175</v>
      </c>
      <c r="R167" s="9">
        <f t="shared" ref="R167:R186" si="39">IF(L167&gt;$C$14,"",
IF(L167&gt;$C$34,$C$18,$C$16))</f>
        <v>0.1298</v>
      </c>
    </row>
    <row r="168" spans="11:18" ht="15.75" x14ac:dyDescent="0.25">
      <c r="K168" s="29">
        <v>162</v>
      </c>
      <c r="L168" s="3">
        <f t="shared" si="35"/>
        <v>162</v>
      </c>
      <c r="M168" s="23">
        <f t="shared" ca="1" si="36"/>
        <v>49539</v>
      </c>
      <c r="N168" s="14">
        <f t="shared" ref="N168:N186" ca="1" si="40">IF(M168="","",
IF($C$26="Стандарт",$C$12/$C$14,P168-IF(MOD(L168,12)=1,$G$8+$G$10,0)-O168))</f>
        <v>31286.500455385627</v>
      </c>
      <c r="O168" s="14">
        <f t="shared" ca="1" si="37"/>
        <v>7095.9303539597313</v>
      </c>
      <c r="P168" s="15">
        <f t="shared" ref="P168:P186" ca="1" si="41">IF(M168="","",
IF($C$26="Стандарт",N168+O168+IF(MOD(L168,12)=1,$G$8+$G$10,0),$L$4+IF(MOD(L168,12)=1,$G$8+$G$10,0)
))</f>
        <v>38382.430809345358</v>
      </c>
      <c r="Q168" s="24">
        <f t="shared" ca="1" si="38"/>
        <v>624731.7140863461</v>
      </c>
      <c r="R168" s="9">
        <f t="shared" si="39"/>
        <v>0.1298</v>
      </c>
    </row>
    <row r="169" spans="11:18" ht="15.75" x14ac:dyDescent="0.25">
      <c r="K169" s="29">
        <v>163</v>
      </c>
      <c r="L169" s="3">
        <f t="shared" si="35"/>
        <v>163</v>
      </c>
      <c r="M169" s="23">
        <f t="shared" ca="1" si="36"/>
        <v>49570</v>
      </c>
      <c r="N169" s="14">
        <f t="shared" ca="1" si="40"/>
        <v>31624.916101978048</v>
      </c>
      <c r="O169" s="14">
        <f t="shared" ca="1" si="37"/>
        <v>6757.5147073673106</v>
      </c>
      <c r="P169" s="15">
        <f t="shared" ca="1" si="41"/>
        <v>38382.430809345358</v>
      </c>
      <c r="Q169" s="24">
        <f t="shared" ca="1" si="38"/>
        <v>593106.79798436805</v>
      </c>
      <c r="R169" s="9">
        <f t="shared" si="39"/>
        <v>0.1298</v>
      </c>
    </row>
    <row r="170" spans="11:18" ht="15.75" x14ac:dyDescent="0.25">
      <c r="K170" s="29">
        <v>164</v>
      </c>
      <c r="L170" s="3">
        <f t="shared" si="35"/>
        <v>164</v>
      </c>
      <c r="M170" s="23">
        <f t="shared" ca="1" si="36"/>
        <v>49600</v>
      </c>
      <c r="N170" s="14">
        <f t="shared" ca="1" si="40"/>
        <v>31966.992277814443</v>
      </c>
      <c r="O170" s="14">
        <f t="shared" ca="1" si="37"/>
        <v>6415.4385315309146</v>
      </c>
      <c r="P170" s="15">
        <f t="shared" ca="1" si="41"/>
        <v>38382.430809345358</v>
      </c>
      <c r="Q170" s="24">
        <f t="shared" ca="1" si="38"/>
        <v>561139.80570655363</v>
      </c>
      <c r="R170" s="9">
        <f t="shared" si="39"/>
        <v>0.1298</v>
      </c>
    </row>
    <row r="171" spans="11:18" ht="15.75" x14ac:dyDescent="0.25">
      <c r="K171" s="29">
        <v>165</v>
      </c>
      <c r="L171" s="3">
        <f t="shared" si="35"/>
        <v>165</v>
      </c>
      <c r="M171" s="23">
        <f t="shared" ca="1" si="36"/>
        <v>49631</v>
      </c>
      <c r="N171" s="14">
        <f t="shared" ca="1" si="40"/>
        <v>32312.76857761947</v>
      </c>
      <c r="O171" s="14">
        <f t="shared" ca="1" si="37"/>
        <v>6069.662231725888</v>
      </c>
      <c r="P171" s="15">
        <f t="shared" ca="1" si="41"/>
        <v>38382.430809345358</v>
      </c>
      <c r="Q171" s="24">
        <f t="shared" ca="1" si="38"/>
        <v>528827.03712893417</v>
      </c>
      <c r="R171" s="9">
        <f t="shared" si="39"/>
        <v>0.1298</v>
      </c>
    </row>
    <row r="172" spans="11:18" ht="15.75" x14ac:dyDescent="0.25">
      <c r="K172" s="29">
        <v>166</v>
      </c>
      <c r="L172" s="3">
        <f t="shared" si="35"/>
        <v>166</v>
      </c>
      <c r="M172" s="23">
        <f t="shared" ca="1" si="36"/>
        <v>49661</v>
      </c>
      <c r="N172" s="14">
        <f t="shared" ca="1" si="40"/>
        <v>32662.28502440072</v>
      </c>
      <c r="O172" s="14">
        <f t="shared" ca="1" si="37"/>
        <v>5720.1457849446379</v>
      </c>
      <c r="P172" s="15">
        <f t="shared" ca="1" si="41"/>
        <v>38382.430809345358</v>
      </c>
      <c r="Q172" s="24">
        <f t="shared" ca="1" si="38"/>
        <v>496164.75210453343</v>
      </c>
      <c r="R172" s="9">
        <f t="shared" si="39"/>
        <v>0.1298</v>
      </c>
    </row>
    <row r="173" spans="11:18" ht="15.75" x14ac:dyDescent="0.25">
      <c r="K173" s="29">
        <v>167</v>
      </c>
      <c r="L173" s="3">
        <f t="shared" si="35"/>
        <v>167</v>
      </c>
      <c r="M173" s="23">
        <f t="shared" ca="1" si="36"/>
        <v>49692</v>
      </c>
      <c r="N173" s="14">
        <f t="shared" ca="1" si="40"/>
        <v>33015.582074081321</v>
      </c>
      <c r="O173" s="14">
        <f t="shared" ca="1" si="37"/>
        <v>5366.8487352640368</v>
      </c>
      <c r="P173" s="15">
        <f t="shared" ca="1" si="41"/>
        <v>38382.430809345358</v>
      </c>
      <c r="Q173" s="24">
        <f t="shared" ca="1" si="38"/>
        <v>463149.17003045208</v>
      </c>
      <c r="R173" s="9">
        <f t="shared" si="39"/>
        <v>0.1298</v>
      </c>
    </row>
    <row r="174" spans="11:18" ht="15.75" x14ac:dyDescent="0.25">
      <c r="K174" s="29">
        <v>168</v>
      </c>
      <c r="L174" s="3">
        <f t="shared" si="35"/>
        <v>168</v>
      </c>
      <c r="M174" s="23">
        <f t="shared" ca="1" si="36"/>
        <v>49723</v>
      </c>
      <c r="N174" s="14">
        <f t="shared" ca="1" si="40"/>
        <v>33372.700620182637</v>
      </c>
      <c r="O174" s="14">
        <f t="shared" ca="1" si="37"/>
        <v>5009.730189162723</v>
      </c>
      <c r="P174" s="15">
        <f t="shared" ca="1" si="41"/>
        <v>38382.430809345358</v>
      </c>
      <c r="Q174" s="24">
        <f t="shared" ca="1" si="38"/>
        <v>429776.46941026946</v>
      </c>
      <c r="R174" s="9">
        <f t="shared" si="39"/>
        <v>0.1298</v>
      </c>
    </row>
    <row r="175" spans="11:18" ht="15.75" x14ac:dyDescent="0.25">
      <c r="K175" s="29">
        <v>169</v>
      </c>
      <c r="L175" s="3">
        <f t="shared" si="35"/>
        <v>169</v>
      </c>
      <c r="M175" s="23">
        <f t="shared" ca="1" si="36"/>
        <v>49752</v>
      </c>
      <c r="N175" s="14">
        <f t="shared" ca="1" si="40"/>
        <v>33733.681998557608</v>
      </c>
      <c r="O175" s="14">
        <f t="shared" ca="1" si="37"/>
        <v>4648.748810787748</v>
      </c>
      <c r="P175" s="15">
        <f t="shared" ca="1" si="41"/>
        <v>51239.573679345354</v>
      </c>
      <c r="Q175" s="24">
        <f t="shared" ca="1" si="38"/>
        <v>396042.78741171188</v>
      </c>
      <c r="R175" s="9">
        <f t="shared" si="39"/>
        <v>0.1298</v>
      </c>
    </row>
    <row r="176" spans="11:18" ht="15.75" x14ac:dyDescent="0.25">
      <c r="K176" s="29">
        <v>170</v>
      </c>
      <c r="L176" s="3">
        <f t="shared" si="35"/>
        <v>170</v>
      </c>
      <c r="M176" s="23">
        <f t="shared" ca="1" si="36"/>
        <v>49783</v>
      </c>
      <c r="N176" s="14">
        <f t="shared" ca="1" si="40"/>
        <v>34098.56799217534</v>
      </c>
      <c r="O176" s="14">
        <f t="shared" ca="1" si="37"/>
        <v>4283.8628171700166</v>
      </c>
      <c r="P176" s="15">
        <f t="shared" ca="1" si="41"/>
        <v>38382.430809345358</v>
      </c>
      <c r="Q176" s="24">
        <f t="shared" ca="1" si="38"/>
        <v>361944.21941953653</v>
      </c>
      <c r="R176" s="9">
        <f t="shared" si="39"/>
        <v>0.1298</v>
      </c>
    </row>
    <row r="177" spans="11:18" ht="15.75" x14ac:dyDescent="0.25">
      <c r="K177" s="29">
        <v>171</v>
      </c>
      <c r="L177" s="3">
        <f t="shared" si="35"/>
        <v>171</v>
      </c>
      <c r="M177" s="23">
        <f t="shared" ca="1" si="36"/>
        <v>49813</v>
      </c>
      <c r="N177" s="14">
        <f t="shared" ca="1" si="40"/>
        <v>34467.400835957371</v>
      </c>
      <c r="O177" s="14">
        <f t="shared" ca="1" si="37"/>
        <v>3915.029973387987</v>
      </c>
      <c r="P177" s="15">
        <f t="shared" ca="1" si="41"/>
        <v>38382.430809345358</v>
      </c>
      <c r="Q177" s="24">
        <f t="shared" ca="1" si="38"/>
        <v>327476.81858357915</v>
      </c>
      <c r="R177" s="9">
        <f t="shared" si="39"/>
        <v>0.1298</v>
      </c>
    </row>
    <row r="178" spans="11:18" ht="15.75" x14ac:dyDescent="0.25">
      <c r="K178" s="29">
        <v>172</v>
      </c>
      <c r="L178" s="3">
        <f t="shared" si="35"/>
        <v>172</v>
      </c>
      <c r="M178" s="23">
        <f t="shared" ca="1" si="36"/>
        <v>49844</v>
      </c>
      <c r="N178" s="14">
        <f t="shared" ca="1" si="40"/>
        <v>34840.223221666311</v>
      </c>
      <c r="O178" s="14">
        <f t="shared" ca="1" si="37"/>
        <v>3542.2075876790477</v>
      </c>
      <c r="P178" s="15">
        <f t="shared" ca="1" si="41"/>
        <v>38382.430809345358</v>
      </c>
      <c r="Q178" s="24">
        <f t="shared" ca="1" si="38"/>
        <v>292636.59536191286</v>
      </c>
      <c r="R178" s="9">
        <f t="shared" si="39"/>
        <v>0.1298</v>
      </c>
    </row>
    <row r="179" spans="11:18" ht="15.75" x14ac:dyDescent="0.25">
      <c r="K179" s="29">
        <v>173</v>
      </c>
      <c r="L179" s="3">
        <f t="shared" si="35"/>
        <v>173</v>
      </c>
      <c r="M179" s="23">
        <f t="shared" ca="1" si="36"/>
        <v>49874</v>
      </c>
      <c r="N179" s="14">
        <f t="shared" ca="1" si="40"/>
        <v>35217.078302847338</v>
      </c>
      <c r="O179" s="14">
        <f t="shared" ca="1" si="37"/>
        <v>3165.352506498024</v>
      </c>
      <c r="P179" s="15">
        <f t="shared" ca="1" si="41"/>
        <v>38382.430809345358</v>
      </c>
      <c r="Q179" s="24">
        <f t="shared" ca="1" si="38"/>
        <v>257419.51705906552</v>
      </c>
      <c r="R179" s="9">
        <f t="shared" si="39"/>
        <v>0.1298</v>
      </c>
    </row>
    <row r="180" spans="11:18" ht="15.75" x14ac:dyDescent="0.25">
      <c r="K180" s="29">
        <v>174</v>
      </c>
      <c r="L180" s="3">
        <f t="shared" si="35"/>
        <v>174</v>
      </c>
      <c r="M180" s="23">
        <f t="shared" ca="1" si="36"/>
        <v>49905</v>
      </c>
      <c r="N180" s="14">
        <f t="shared" ca="1" si="40"/>
        <v>35598.009699823131</v>
      </c>
      <c r="O180" s="14">
        <f t="shared" ca="1" si="37"/>
        <v>2784.4211095222254</v>
      </c>
      <c r="P180" s="15">
        <f t="shared" ca="1" si="41"/>
        <v>38382.430809345358</v>
      </c>
      <c r="Q180" s="24">
        <f t="shared" ca="1" si="38"/>
        <v>221821.50735924239</v>
      </c>
      <c r="R180" s="9">
        <f t="shared" si="39"/>
        <v>0.1298</v>
      </c>
    </row>
    <row r="181" spans="11:18" ht="15.75" x14ac:dyDescent="0.25">
      <c r="K181" s="29">
        <v>175</v>
      </c>
      <c r="L181" s="3">
        <f t="shared" si="35"/>
        <v>175</v>
      </c>
      <c r="M181" s="23">
        <f t="shared" ca="1" si="36"/>
        <v>49936</v>
      </c>
      <c r="N181" s="14">
        <f t="shared" ca="1" si="40"/>
        <v>35983.061504742887</v>
      </c>
      <c r="O181" s="14">
        <f t="shared" ca="1" si="37"/>
        <v>2399.3693046024719</v>
      </c>
      <c r="P181" s="15">
        <f t="shared" ca="1" si="41"/>
        <v>38382.430809345358</v>
      </c>
      <c r="Q181" s="24">
        <f t="shared" ca="1" si="38"/>
        <v>185838.4458544995</v>
      </c>
      <c r="R181" s="9">
        <f t="shared" si="39"/>
        <v>0.1298</v>
      </c>
    </row>
    <row r="182" spans="11:18" ht="15.75" x14ac:dyDescent="0.25">
      <c r="K182" s="29">
        <v>176</v>
      </c>
      <c r="L182" s="3">
        <f t="shared" si="35"/>
        <v>176</v>
      </c>
      <c r="M182" s="23">
        <f t="shared" ca="1" si="36"/>
        <v>49966</v>
      </c>
      <c r="N182" s="14">
        <f t="shared" ca="1" si="40"/>
        <v>36372.278286685854</v>
      </c>
      <c r="O182" s="14">
        <f t="shared" ca="1" si="37"/>
        <v>2010.1525226595029</v>
      </c>
      <c r="P182" s="15">
        <f t="shared" ca="1" si="41"/>
        <v>38382.430809345358</v>
      </c>
      <c r="Q182" s="24">
        <f t="shared" ca="1" si="38"/>
        <v>149466.16756781365</v>
      </c>
      <c r="R182" s="9">
        <f t="shared" si="39"/>
        <v>0.1298</v>
      </c>
    </row>
    <row r="183" spans="11:18" ht="15.75" x14ac:dyDescent="0.25">
      <c r="K183" s="29">
        <v>177</v>
      </c>
      <c r="L183" s="3">
        <f t="shared" si="35"/>
        <v>177</v>
      </c>
      <c r="M183" s="23">
        <f t="shared" ca="1" si="36"/>
        <v>49997</v>
      </c>
      <c r="N183" s="14">
        <f t="shared" ca="1" si="40"/>
        <v>36765.705096820173</v>
      </c>
      <c r="O183" s="14">
        <f t="shared" ca="1" si="37"/>
        <v>1616.7257125251845</v>
      </c>
      <c r="P183" s="15">
        <f t="shared" ca="1" si="41"/>
        <v>38382.430809345358</v>
      </c>
      <c r="Q183" s="24">
        <f t="shared" ca="1" si="38"/>
        <v>112700.46247099349</v>
      </c>
      <c r="R183" s="9">
        <f t="shared" si="39"/>
        <v>0.1298</v>
      </c>
    </row>
    <row r="184" spans="11:18" ht="15.75" x14ac:dyDescent="0.25">
      <c r="K184" s="29">
        <v>178</v>
      </c>
      <c r="L184" s="3">
        <f t="shared" si="35"/>
        <v>178</v>
      </c>
      <c r="M184" s="23">
        <f t="shared" ca="1" si="36"/>
        <v>50027</v>
      </c>
      <c r="N184" s="14">
        <f t="shared" ca="1" si="40"/>
        <v>37163.387473617448</v>
      </c>
      <c r="O184" s="14">
        <f t="shared" ca="1" si="37"/>
        <v>1219.0433357279128</v>
      </c>
      <c r="P184" s="15">
        <f t="shared" ca="1" si="41"/>
        <v>38382.430809345358</v>
      </c>
      <c r="Q184" s="24">
        <f t="shared" ca="1" si="38"/>
        <v>75537.074997376039</v>
      </c>
      <c r="R184" s="9">
        <f t="shared" si="39"/>
        <v>0.1298</v>
      </c>
    </row>
    <row r="185" spans="11:18" ht="15.75" x14ac:dyDescent="0.25">
      <c r="K185" s="29">
        <v>179</v>
      </c>
      <c r="L185" s="3">
        <f t="shared" si="35"/>
        <v>179</v>
      </c>
      <c r="M185" s="23">
        <f t="shared" ca="1" si="36"/>
        <v>50058</v>
      </c>
      <c r="N185" s="14">
        <f t="shared" ca="1" si="40"/>
        <v>37565.37144812374</v>
      </c>
      <c r="O185" s="14">
        <f t="shared" ca="1" si="37"/>
        <v>817.05936122161745</v>
      </c>
      <c r="P185" s="15">
        <f t="shared" ca="1" si="41"/>
        <v>38382.430809345358</v>
      </c>
      <c r="Q185" s="24">
        <f t="shared" ca="1" si="38"/>
        <v>37971.703549252299</v>
      </c>
      <c r="R185" s="9">
        <f t="shared" si="39"/>
        <v>0.1298</v>
      </c>
    </row>
    <row r="186" spans="11:18" ht="15.75" x14ac:dyDescent="0.25">
      <c r="K186" s="29">
        <v>180</v>
      </c>
      <c r="L186" s="3">
        <f t="shared" si="35"/>
        <v>180</v>
      </c>
      <c r="M186" s="23">
        <f t="shared" ca="1" si="36"/>
        <v>50089</v>
      </c>
      <c r="N186" s="14">
        <f t="shared" ca="1" si="40"/>
        <v>37971.703549287609</v>
      </c>
      <c r="O186" s="14">
        <f t="shared" ca="1" si="37"/>
        <v>410.7272600577457</v>
      </c>
      <c r="P186" s="15">
        <f t="shared" ca="1" si="41"/>
        <v>38382.430809345358</v>
      </c>
      <c r="Q186" s="24">
        <f t="shared" ca="1" si="38"/>
        <v>-3.5310222301632166E-8</v>
      </c>
      <c r="R186" s="9">
        <f t="shared" si="39"/>
        <v>0.1298</v>
      </c>
    </row>
  </sheetData>
  <sheetProtection algorithmName="SHA-512" hashValue="XqDmu5mvA76GJiDfrG8BiPIRFaWVkrnZvm0YsefT79LFFbmsdnZYi5Bhi+BIclQQCAsWsAJyde7E2IhxhpKn0A==" saltValue="+gfztuRHsVPQ5BZRTeshCQ==" spinCount="100000" sheet="1" objects="1" scenarios="1"/>
  <mergeCells count="21">
    <mergeCell ref="C34:D34"/>
    <mergeCell ref="C14:D14"/>
    <mergeCell ref="C12:D12"/>
    <mergeCell ref="C11:D11"/>
    <mergeCell ref="C13:D13"/>
    <mergeCell ref="B21:F21"/>
    <mergeCell ref="B5:D6"/>
    <mergeCell ref="C26:D26"/>
    <mergeCell ref="C16:D16"/>
    <mergeCell ref="C20:D20"/>
    <mergeCell ref="C19:D19"/>
    <mergeCell ref="C18:D18"/>
    <mergeCell ref="C8:D8"/>
    <mergeCell ref="C24:D24"/>
    <mergeCell ref="B23:B24"/>
    <mergeCell ref="L2:Q3"/>
    <mergeCell ref="I18:J18"/>
    <mergeCell ref="F2:J2"/>
    <mergeCell ref="F3:J3"/>
    <mergeCell ref="I5:J6"/>
    <mergeCell ref="F5:G6"/>
  </mergeCells>
  <conditionalFormatting sqref="I18:J18">
    <cfRule type="expression" dxfId="2" priority="3">
      <formula>ROUND(INDIRECT("Калькулятор!Q"&amp;6+C14),1)=0</formula>
    </cfRule>
  </conditionalFormatting>
  <conditionalFormatting sqref="L7:Q186">
    <cfRule type="containsBlanks" dxfId="1" priority="2">
      <formula>LEN(TRIM(L7))=0</formula>
    </cfRule>
  </conditionalFormatting>
  <conditionalFormatting sqref="C11">
    <cfRule type="containsBlanks" dxfId="0" priority="4">
      <formula>LEN(TRIM(C11))=0</formula>
    </cfRule>
  </conditionalFormatting>
  <dataValidations count="4">
    <dataValidation type="list" allowBlank="1" showInputMessage="1" showErrorMessage="1" sqref="C26:D26">
      <formula1>"Ануїтет, Стандарт"</formula1>
    </dataValidation>
    <dataValidation type="list" allowBlank="1" showInputMessage="1" showErrorMessage="1" sqref="D23">
      <formula1>"Оплата самостійно, В кредит"</formula1>
    </dataValidation>
    <dataValidation type="list" allowBlank="1" showInputMessage="1" showErrorMessage="1" sqref="C14:D14">
      <formula1>"12,24,36,48,60,72,84,96,108,120,132,144,156,168,180"</formula1>
    </dataValidation>
    <dataValidation type="decimal" allowBlank="1" showInputMessage="1" showErrorMessage="1" errorTitle="Некоректний аванс" error="Мінімальний аванс 30%" sqref="C10">
      <formula1>C8*30%</formula1>
      <formula2>C8</formula2>
    </dataValidation>
  </dataValidations>
  <hyperlinks>
    <hyperlink ref="B21" r:id="rId1" display="Актуальне значення UIRD 12M (12 місяців) можна переглянути за посиланням та використати для розрахунку"/>
    <hyperlink ref="B21:F21" r:id="rId2" display="Актуальне значення UIRD 12M UAH (12 місяців) можна переглянути за посиланням та використати для розрахунку"/>
  </hyperlinks>
  <pageMargins left="0.25" right="0.25" top="0.75" bottom="0.75" header="0.3" footer="0.3"/>
  <pageSetup paperSize="9" scale="40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OTP Bank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BOIKO Yurii Sergiiovych</dc:creator>
  <cp:lastModifiedBy>Мoskalenko Oksana Anatoliivna</cp:lastModifiedBy>
  <cp:lastPrinted>2022-02-18T14:09:55Z</cp:lastPrinted>
  <dcterms:created xsi:type="dcterms:W3CDTF">2020-09-04T07:45:33Z</dcterms:created>
  <dcterms:modified xsi:type="dcterms:W3CDTF">2022-02-18T15:20:12Z</dcterms:modified>
</cp:coreProperties>
</file>